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HTFTF Current Docs - May 2020\"/>
    </mc:Choice>
  </mc:AlternateContent>
  <bookViews>
    <workbookView xWindow="0" yWindow="0" windowWidth="11970" windowHeight="9360"/>
  </bookViews>
  <sheets>
    <sheet name="Current" sheetId="16" r:id="rId1"/>
    <sheet name="18J Central Final" sheetId="1" r:id="rId2"/>
    <sheet name="18J Central Interim" sheetId="13" r:id="rId3"/>
    <sheet name="Heath Ctr Final" sheetId="14" r:id="rId4"/>
    <sheet name="Heath Ctr Interim" sheetId="15" r:id="rId5"/>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8" i="13" l="1"/>
  <c r="E9" i="14" l="1"/>
  <c r="E12" i="14" s="1"/>
  <c r="E9" i="15"/>
  <c r="F9" i="15"/>
  <c r="D9" i="15"/>
  <c r="B12" i="14"/>
  <c r="F9" i="14"/>
  <c r="D9" i="14"/>
  <c r="E9" i="13"/>
  <c r="D9" i="13"/>
  <c r="B9" i="13"/>
  <c r="E9" i="1"/>
  <c r="B37" i="16"/>
  <c r="D8" i="15"/>
  <c r="C8" i="15"/>
  <c r="B36" i="16"/>
  <c r="D8" i="14"/>
  <c r="C8" i="14"/>
  <c r="C8" i="13"/>
  <c r="F34" i="16"/>
  <c r="E34" i="16"/>
  <c r="D34" i="16"/>
  <c r="C34" i="16"/>
  <c r="B34" i="16"/>
  <c r="F33" i="16"/>
  <c r="E33" i="16"/>
  <c r="D33" i="16"/>
  <c r="E30" i="16"/>
  <c r="B31" i="16"/>
  <c r="C30" i="16"/>
  <c r="C32" i="16"/>
  <c r="C31" i="16"/>
  <c r="D32" i="16"/>
  <c r="D31" i="16"/>
  <c r="C7" i="13"/>
  <c r="B32" i="16"/>
  <c r="B8" i="13"/>
  <c r="F7" i="15"/>
  <c r="E7" i="15"/>
  <c r="D7" i="15"/>
  <c r="C7" i="15"/>
  <c r="C7" i="14"/>
  <c r="D12" i="14"/>
  <c r="F12" i="14"/>
  <c r="G12" i="14"/>
  <c r="F7" i="14"/>
  <c r="E7" i="14"/>
  <c r="D7" i="14"/>
  <c r="B7" i="13"/>
  <c r="E7" i="13"/>
  <c r="E29" i="16"/>
  <c r="D7" i="13"/>
  <c r="D29" i="16"/>
  <c r="F29" i="16"/>
  <c r="C29" i="16"/>
  <c r="B29" i="16"/>
  <c r="E28" i="16"/>
  <c r="D28" i="16"/>
  <c r="D27" i="16"/>
  <c r="C27" i="16"/>
  <c r="B27" i="16"/>
  <c r="F26" i="16"/>
  <c r="E26" i="16"/>
  <c r="D26" i="16"/>
  <c r="C26" i="16"/>
  <c r="B26" i="16"/>
  <c r="C28" i="13"/>
  <c r="F28" i="13"/>
  <c r="B28" i="13"/>
  <c r="E27" i="13"/>
  <c r="D27" i="13"/>
  <c r="B26" i="13"/>
  <c r="C26" i="13"/>
  <c r="D26" i="13"/>
  <c r="B25" i="13"/>
  <c r="C25" i="13"/>
  <c r="F25" i="13"/>
  <c r="E25" i="13"/>
  <c r="D25" i="13"/>
  <c r="D12" i="15" l="1"/>
  <c r="B8" i="1" l="1"/>
  <c r="B3" i="1" l="1"/>
  <c r="B13" i="1" l="1"/>
  <c r="G14" i="16" l="1"/>
  <c r="D3" i="15"/>
  <c r="D14" i="15" s="1"/>
  <c r="C3" i="15"/>
  <c r="C12" i="15" s="1"/>
  <c r="C14" i="15" s="1"/>
  <c r="B3" i="15"/>
  <c r="B12" i="15" s="1"/>
  <c r="B14" i="15" s="1"/>
  <c r="G12" i="15"/>
  <c r="G14" i="15" s="1"/>
  <c r="F12" i="15"/>
  <c r="F14" i="15" s="1"/>
  <c r="E12" i="15"/>
  <c r="E14" i="15" s="1"/>
  <c r="D3" i="14"/>
  <c r="C3" i="14"/>
  <c r="C12" i="14" s="1"/>
  <c r="C14" i="14" s="1"/>
  <c r="G14" i="14"/>
  <c r="B14" i="14"/>
  <c r="F14" i="14"/>
  <c r="E14" i="16" l="1"/>
  <c r="D14" i="16"/>
  <c r="F14" i="16"/>
  <c r="B14" i="16"/>
  <c r="C14" i="16"/>
  <c r="G15" i="15"/>
  <c r="E14" i="14"/>
  <c r="D14" i="14"/>
  <c r="F11" i="13"/>
  <c r="F12" i="13" s="1"/>
  <c r="F14" i="13" s="1"/>
  <c r="D3" i="13"/>
  <c r="C3" i="13"/>
  <c r="B3" i="13"/>
  <c r="B12" i="13" s="1"/>
  <c r="B14" i="13" s="1"/>
  <c r="G15" i="14" l="1"/>
  <c r="G15" i="16"/>
  <c r="E12" i="13"/>
  <c r="E14" i="13" s="1"/>
  <c r="D12" i="13"/>
  <c r="D14" i="13" s="1"/>
  <c r="C12" i="13"/>
  <c r="C14" i="13" s="1"/>
  <c r="F16" i="13" l="1"/>
  <c r="E12" i="1" l="1"/>
  <c r="E14" i="1" s="1"/>
  <c r="C12" i="1"/>
  <c r="C14" i="1" s="1"/>
  <c r="B12" i="1"/>
  <c r="B14" i="1" s="1"/>
  <c r="D12" i="1"/>
  <c r="D14" i="1" s="1"/>
  <c r="F11" i="1" l="1"/>
  <c r="F12" i="1" l="1"/>
  <c r="F14" i="1" s="1"/>
  <c r="F15" i="1" s="1"/>
</calcChain>
</file>

<file path=xl/comments1.xml><?xml version="1.0" encoding="utf-8"?>
<comments xmlns="http://schemas.openxmlformats.org/spreadsheetml/2006/main">
  <authors>
    <author>Dena Briggs</author>
  </authors>
  <commentList>
    <comment ref="B29" authorId="0" shapeId="0">
      <text>
        <r>
          <rPr>
            <b/>
            <sz val="9"/>
            <color indexed="81"/>
            <rFont val="Tahoma"/>
            <family val="2"/>
          </rPr>
          <t>Dena Briggs:</t>
        </r>
        <r>
          <rPr>
            <sz val="9"/>
            <color indexed="81"/>
            <rFont val="Tahoma"/>
            <family val="2"/>
          </rPr>
          <t xml:space="preserve">
full use</t>
        </r>
      </text>
    </comment>
    <comment ref="B30" authorId="0" shapeId="0">
      <text>
        <r>
          <rPr>
            <b/>
            <sz val="9"/>
            <color indexed="81"/>
            <rFont val="Tahoma"/>
            <family val="2"/>
          </rPr>
          <t>Dena Briggs:</t>
        </r>
        <r>
          <rPr>
            <sz val="9"/>
            <color indexed="81"/>
            <rFont val="Tahoma"/>
            <family val="2"/>
          </rPr>
          <t xml:space="preserve">
partial use</t>
        </r>
      </text>
    </comment>
    <comment ref="B32" authorId="0" shapeId="0">
      <text>
        <r>
          <rPr>
            <b/>
            <sz val="9"/>
            <color indexed="81"/>
            <rFont val="Tahoma"/>
            <family val="2"/>
          </rPr>
          <t>Dena Briggs:</t>
        </r>
        <r>
          <rPr>
            <sz val="9"/>
            <color indexed="81"/>
            <rFont val="Tahoma"/>
            <family val="2"/>
          </rPr>
          <t xml:space="preserve">
projection for full use</t>
        </r>
      </text>
    </comment>
  </commentList>
</comments>
</file>

<file path=xl/sharedStrings.xml><?xml version="1.0" encoding="utf-8"?>
<sst xmlns="http://schemas.openxmlformats.org/spreadsheetml/2006/main" count="150" uniqueCount="89">
  <si>
    <t>Utilities Oil</t>
  </si>
  <si>
    <t>Utilities Propane</t>
  </si>
  <si>
    <t>Community Hall</t>
  </si>
  <si>
    <t>Hwy Garage</t>
  </si>
  <si>
    <t>Total</t>
  </si>
  <si>
    <t>Utilities, Electricity</t>
  </si>
  <si>
    <t>Bray Rd</t>
  </si>
  <si>
    <t>Net Costs</t>
  </si>
  <si>
    <t>18 Jacobs Rd</t>
  </si>
  <si>
    <t>Sawyer Hall</t>
  </si>
  <si>
    <r>
      <rPr>
        <vertAlign val="superscript"/>
        <sz val="11"/>
        <color theme="1"/>
        <rFont val="Calibri"/>
        <family val="2"/>
        <scheme val="minor"/>
      </rPr>
      <t>a</t>
    </r>
    <r>
      <rPr>
        <sz val="11"/>
        <color theme="1"/>
        <rFont val="Calibri"/>
        <family val="2"/>
        <scheme val="minor"/>
      </rPr>
      <t>All-in salaries and benefits provided by town Treasurer</t>
    </r>
  </si>
  <si>
    <t>Revenue offsets</t>
  </si>
  <si>
    <t>Loan repayment</t>
  </si>
  <si>
    <t>Custodian Salary- $19/hr; 20hr/wk; no benefits</t>
  </si>
  <si>
    <t>Summary Sheet Annual Operational Cost Projections
Centralization of Government at 18 Jacobs Rd - After full execution of plan</t>
  </si>
  <si>
    <t>Utilities Propane - cook stove and FD radiant floor</t>
  </si>
  <si>
    <t>TOTAL BUILDING COST</t>
  </si>
  <si>
    <r>
      <t>Custodian Salary</t>
    </r>
    <r>
      <rPr>
        <vertAlign val="superscript"/>
        <sz val="11"/>
        <color theme="1"/>
        <rFont val="Calibri"/>
        <family val="2"/>
        <scheme val="minor"/>
      </rPr>
      <t>a</t>
    </r>
  </si>
  <si>
    <t>Summary Sheet Annual Operational Cost Projections
Centralization of Government at 18 Jacobs Rd - Interim Costs</t>
  </si>
  <si>
    <t xml:space="preserve">     </t>
  </si>
  <si>
    <r>
      <t>Custodian Salary &amp; Benefits</t>
    </r>
    <r>
      <rPr>
        <vertAlign val="superscript"/>
        <sz val="11"/>
        <color theme="1"/>
        <rFont val="Calibri"/>
        <family val="2"/>
        <scheme val="minor"/>
      </rPr>
      <t>a</t>
    </r>
  </si>
  <si>
    <t>Fire Station</t>
  </si>
  <si>
    <r>
      <t>Insurance</t>
    </r>
    <r>
      <rPr>
        <vertAlign val="superscript"/>
        <sz val="11"/>
        <color theme="1"/>
        <rFont val="Calibri"/>
        <family val="2"/>
        <scheme val="minor"/>
      </rPr>
      <t>b</t>
    </r>
  </si>
  <si>
    <t>Maintenance</t>
  </si>
  <si>
    <t>Summary Sheet Annual Operational Cost Projections
Centralization of Government at Town Center - Interim Costs</t>
  </si>
  <si>
    <t>Summary Sheet Annual Operational Cost Projections
Centralization of Government at Town Center - Final Costs</t>
  </si>
  <si>
    <t>Loan Repayment</t>
  </si>
  <si>
    <t>Health &amp; Safety</t>
  </si>
  <si>
    <t>Routine Maintenance</t>
  </si>
  <si>
    <t>Routine Maintenance
 -based on 2.75yr avg, July 1, 2017 - March 1, 2020</t>
  </si>
  <si>
    <r>
      <t>Revenue offsets</t>
    </r>
    <r>
      <rPr>
        <vertAlign val="superscript"/>
        <sz val="11"/>
        <color theme="1"/>
        <rFont val="Calibri"/>
        <family val="2"/>
        <scheme val="minor"/>
      </rPr>
      <t>c</t>
    </r>
  </si>
  <si>
    <r>
      <rPr>
        <vertAlign val="superscript"/>
        <sz val="11"/>
        <color theme="1"/>
        <rFont val="Calibri"/>
        <family val="2"/>
        <scheme val="minor"/>
      </rPr>
      <t>c</t>
    </r>
    <r>
      <rPr>
        <sz val="11"/>
        <color theme="1"/>
        <rFont val="Calibri"/>
        <family val="2"/>
        <scheme val="minor"/>
      </rPr>
      <t>18J Rd revenue from FinCom report "18 jacobs rd 4-30-20"</t>
    </r>
  </si>
  <si>
    <t>In FY19, CH had $792 in rental revenue</t>
  </si>
  <si>
    <r>
      <t>Postal Worker Salary &amp; Benefits</t>
    </r>
    <r>
      <rPr>
        <vertAlign val="superscript"/>
        <sz val="11"/>
        <color theme="1"/>
        <rFont val="Calibri"/>
        <family val="2"/>
        <scheme val="minor"/>
      </rPr>
      <t>a</t>
    </r>
  </si>
  <si>
    <t>Loan</t>
  </si>
  <si>
    <t>Assumes all Green Communities energy savings plans are executed and savings realized (Heath ERP School DRAFT)</t>
  </si>
  <si>
    <t>Summary Sheet Operational Costs(4/1/19 through 3/31/20)</t>
  </si>
  <si>
    <t>Custodian Salary- 30hr/wk; benefits</t>
  </si>
  <si>
    <r>
      <t xml:space="preserve">18 Jacobs Rd </t>
    </r>
    <r>
      <rPr>
        <b/>
        <sz val="11"/>
        <color rgb="FFFF0000"/>
        <rFont val="Calibri"/>
        <family val="2"/>
        <scheme val="minor"/>
      </rPr>
      <t>w/FD</t>
    </r>
  </si>
  <si>
    <r>
      <t>Utilities, Electric</t>
    </r>
    <r>
      <rPr>
        <vertAlign val="superscript"/>
        <sz val="11"/>
        <color theme="1"/>
        <rFont val="Calibri"/>
        <family val="2"/>
        <scheme val="minor"/>
      </rPr>
      <t>a</t>
    </r>
  </si>
  <si>
    <r>
      <rPr>
        <vertAlign val="superscript"/>
        <sz val="11"/>
        <color theme="1"/>
        <rFont val="Calibri"/>
        <family val="2"/>
        <scheme val="minor"/>
      </rPr>
      <t>a</t>
    </r>
    <r>
      <rPr>
        <sz val="11"/>
        <color theme="1"/>
        <rFont val="Calibri"/>
        <family val="2"/>
        <scheme val="minor"/>
      </rPr>
      <t>Elec for 18 J Rd takes full use (FY12-FY16 MTRSD) and subtracts savings based on Heath_ERP_School_DRAFT report assuming energy savings work is completed</t>
    </r>
  </si>
  <si>
    <r>
      <t>MOVE Post Office to 18 J Rd</t>
    </r>
    <r>
      <rPr>
        <vertAlign val="superscript"/>
        <sz val="11"/>
        <color theme="1"/>
        <rFont val="Calibri"/>
        <family val="2"/>
        <scheme val="minor"/>
      </rPr>
      <t>b</t>
    </r>
  </si>
  <si>
    <r>
      <rPr>
        <vertAlign val="superscript"/>
        <sz val="11"/>
        <color theme="1"/>
        <rFont val="Calibri"/>
        <family val="2"/>
        <scheme val="minor"/>
      </rPr>
      <t>b</t>
    </r>
    <r>
      <rPr>
        <sz val="11"/>
        <color theme="1"/>
        <rFont val="Calibri"/>
        <family val="2"/>
        <scheme val="minor"/>
      </rPr>
      <t>What can or will be done with Heath Post Office is unknown, so we planned for it to potentially move to 18 Jacobs Rd, increasing the cost to operate by $12,912</t>
    </r>
  </si>
  <si>
    <r>
      <rPr>
        <vertAlign val="superscript"/>
        <sz val="11"/>
        <color theme="1"/>
        <rFont val="Calibri"/>
        <family val="2"/>
        <scheme val="minor"/>
      </rPr>
      <t>c</t>
    </r>
    <r>
      <rPr>
        <sz val="11"/>
        <color theme="1"/>
        <rFont val="Calibri"/>
        <family val="2"/>
        <scheme val="minor"/>
      </rPr>
      <t>Oil projections based on school full use estimated average of 9100 gal /yr and weatherization of savings of 1,336 gallons based on Heath_ERP_School_DRAFT report</t>
    </r>
  </si>
  <si>
    <r>
      <t xml:space="preserve">18 Jacobs Rd </t>
    </r>
    <r>
      <rPr>
        <b/>
        <sz val="11"/>
        <color rgb="FFFF0000"/>
        <rFont val="Calibri"/>
        <family val="2"/>
        <scheme val="minor"/>
      </rPr>
      <t>w/Fire Dept</t>
    </r>
    <r>
      <rPr>
        <b/>
        <vertAlign val="superscript"/>
        <sz val="11"/>
        <color rgb="FFFF0000"/>
        <rFont val="Calibri"/>
        <family val="2"/>
        <scheme val="minor"/>
      </rPr>
      <t>d</t>
    </r>
  </si>
  <si>
    <r>
      <t>Insurance - based on FY20 insurance quotes</t>
    </r>
    <r>
      <rPr>
        <vertAlign val="superscript"/>
        <sz val="11"/>
        <color theme="1"/>
        <rFont val="Calibri"/>
        <family val="2"/>
        <scheme val="minor"/>
      </rPr>
      <t>b</t>
    </r>
  </si>
  <si>
    <r>
      <rPr>
        <vertAlign val="superscript"/>
        <sz val="11"/>
        <color theme="1"/>
        <rFont val="Calibri"/>
        <family val="2"/>
        <scheme val="minor"/>
      </rPr>
      <t>c</t>
    </r>
    <r>
      <rPr>
        <sz val="11"/>
        <color theme="1"/>
        <rFont val="Calibri"/>
        <family val="2"/>
        <scheme val="minor"/>
      </rPr>
      <t>Propane includes FD radiant floor</t>
    </r>
  </si>
  <si>
    <r>
      <t>Utilities Propane</t>
    </r>
    <r>
      <rPr>
        <vertAlign val="superscript"/>
        <sz val="11"/>
        <color theme="1"/>
        <rFont val="Calibri"/>
        <family val="2"/>
        <scheme val="minor"/>
      </rPr>
      <t>c</t>
    </r>
  </si>
  <si>
    <r>
      <t>Fire Station</t>
    </r>
    <r>
      <rPr>
        <b/>
        <vertAlign val="superscript"/>
        <sz val="11"/>
        <color theme="1"/>
        <rFont val="Calibri"/>
        <family val="2"/>
        <scheme val="minor"/>
      </rPr>
      <t>b</t>
    </r>
  </si>
  <si>
    <r>
      <t>Hwy Garage</t>
    </r>
    <r>
      <rPr>
        <b/>
        <vertAlign val="superscript"/>
        <sz val="11"/>
        <color theme="1"/>
        <rFont val="Calibri"/>
        <family val="2"/>
        <scheme val="minor"/>
      </rPr>
      <t>b</t>
    </r>
  </si>
  <si>
    <r>
      <rPr>
        <vertAlign val="superscript"/>
        <sz val="11"/>
        <color theme="1"/>
        <rFont val="Calibri"/>
        <family val="2"/>
        <scheme val="minor"/>
      </rPr>
      <t>b1</t>
    </r>
    <r>
      <rPr>
        <sz val="11"/>
        <color theme="1"/>
        <rFont val="Calibri"/>
        <family val="2"/>
        <scheme val="minor"/>
      </rPr>
      <t>Insurance estimate is lower than FY21 as it is for full use, not  partial use on 18 Jacobs Rd</t>
    </r>
  </si>
  <si>
    <r>
      <t>Insurance - estimate for occupied 18J</t>
    </r>
    <r>
      <rPr>
        <vertAlign val="superscript"/>
        <sz val="11"/>
        <color theme="1"/>
        <rFont val="Calibri"/>
        <family val="2"/>
        <scheme val="minor"/>
      </rPr>
      <t>b1</t>
    </r>
  </si>
  <si>
    <t>Using $1.58/gallon for oil as we understand that is what we locked in.</t>
  </si>
  <si>
    <r>
      <t>Utilities Oil @$1.58/gal</t>
    </r>
    <r>
      <rPr>
        <vertAlign val="superscript"/>
        <sz val="11"/>
        <color theme="1"/>
        <rFont val="Calibri"/>
        <family val="2"/>
        <scheme val="minor"/>
      </rPr>
      <t>c</t>
    </r>
  </si>
  <si>
    <r>
      <t>Community Hall</t>
    </r>
    <r>
      <rPr>
        <b/>
        <vertAlign val="superscript"/>
        <sz val="11"/>
        <color theme="1"/>
        <rFont val="Calibri"/>
        <family val="2"/>
        <scheme val="minor"/>
      </rPr>
      <t>d</t>
    </r>
  </si>
  <si>
    <r>
      <rPr>
        <vertAlign val="superscript"/>
        <sz val="11"/>
        <color theme="1"/>
        <rFont val="Calibri"/>
        <family val="2"/>
        <scheme val="minor"/>
      </rPr>
      <t>d</t>
    </r>
    <r>
      <rPr>
        <sz val="11"/>
        <color theme="1"/>
        <rFont val="Calibri"/>
        <family val="2"/>
        <scheme val="minor"/>
      </rPr>
      <t>Community Hall only in summer use</t>
    </r>
  </si>
  <si>
    <r>
      <rPr>
        <vertAlign val="superscript"/>
        <sz val="11"/>
        <color theme="1"/>
        <rFont val="Calibri"/>
        <family val="2"/>
        <scheme val="minor"/>
      </rPr>
      <t>b</t>
    </r>
    <r>
      <rPr>
        <sz val="11"/>
        <color theme="1"/>
        <rFont val="Calibri"/>
        <family val="2"/>
        <scheme val="minor"/>
      </rPr>
      <t>Community Hall insurance increases if it is vacant or partial use; 18 Jacobs Rd is reduced if full use (partial use is $11,611 for FY21)</t>
    </r>
  </si>
  <si>
    <t>The Interim Costs are provided as a bridge of costs AFTER energy upgrades completed and the FD is built at 18 Jacobs Rd, but before Sawyer Hall and Community Hall are net zero cost to town through revenue.  Costs shown for Sawyer and Community Halls are for keeping the buildings operational for lease space.  Community Hall only in use in summer.   It also assumes the post office is functioning at Sawyer Hall.</t>
  </si>
  <si>
    <r>
      <rPr>
        <vertAlign val="superscript"/>
        <sz val="11"/>
        <color theme="1"/>
        <rFont val="Calibri"/>
        <family val="2"/>
        <scheme val="minor"/>
      </rPr>
      <t>b</t>
    </r>
    <r>
      <rPr>
        <sz val="11"/>
        <color theme="1"/>
        <rFont val="Calibri"/>
        <family val="2"/>
        <scheme val="minor"/>
      </rPr>
      <t>Classroom is willing to move from 18J to CH, but it does not appear there can be dedicated space given all of the other activity that is and will occur there.</t>
    </r>
  </si>
  <si>
    <r>
      <t>Revenue offsets</t>
    </r>
    <r>
      <rPr>
        <vertAlign val="superscript"/>
        <sz val="11"/>
        <color theme="1"/>
        <rFont val="Calibri"/>
        <family val="2"/>
        <scheme val="minor"/>
      </rPr>
      <t>b</t>
    </r>
  </si>
  <si>
    <r>
      <rPr>
        <vertAlign val="superscript"/>
        <sz val="11"/>
        <color theme="1"/>
        <rFont val="Calibri"/>
        <family val="2"/>
        <scheme val="minor"/>
      </rPr>
      <t>c</t>
    </r>
    <r>
      <rPr>
        <sz val="11"/>
        <color theme="1"/>
        <rFont val="Calibri"/>
        <family val="2"/>
        <scheme val="minor"/>
      </rPr>
      <t>Expansion of Hwy Garage will increase utilities offsetting savings expected from energy savings measures as well as increase cost of insurance.</t>
    </r>
  </si>
  <si>
    <r>
      <rPr>
        <vertAlign val="superscript"/>
        <sz val="11"/>
        <color theme="1"/>
        <rFont val="Calibri"/>
        <family val="2"/>
        <scheme val="minor"/>
      </rPr>
      <t>b,c</t>
    </r>
    <r>
      <rPr>
        <sz val="11"/>
        <color theme="1"/>
        <rFont val="Calibri"/>
        <family val="2"/>
        <scheme val="minor"/>
      </rPr>
      <t>Expansion of Hwy Garage will increase cost to insure and utilities offsetting savings expected from energy savings measures.</t>
    </r>
  </si>
  <si>
    <r>
      <rPr>
        <vertAlign val="superscript"/>
        <sz val="11"/>
        <color rgb="FFFF0000"/>
        <rFont val="Calibri"/>
        <family val="2"/>
        <scheme val="minor"/>
      </rPr>
      <t>d</t>
    </r>
    <r>
      <rPr>
        <sz val="11"/>
        <color rgb="FFFF0000"/>
        <rFont val="Calibri"/>
        <family val="2"/>
        <scheme val="minor"/>
      </rPr>
      <t>The 18 Jacobs Rd plan includes the built Fire Department garage on site with radiant floor propane heat.</t>
    </r>
  </si>
  <si>
    <t>$0.16/kWh</t>
  </si>
  <si>
    <t>Energy savings from ERP report</t>
  </si>
  <si>
    <t>18J</t>
  </si>
  <si>
    <t>SH</t>
  </si>
  <si>
    <t>CH</t>
  </si>
  <si>
    <t>HG</t>
  </si>
  <si>
    <t>FD</t>
  </si>
  <si>
    <t>Gallons of oil at $1.58/gal</t>
  </si>
  <si>
    <t>Utilities Oil at $1.58/gal</t>
  </si>
  <si>
    <t>Gallons of propane at $1.59/gal</t>
  </si>
  <si>
    <t>Baseline kWh</t>
  </si>
  <si>
    <t>Oil savings at $1.58/gal</t>
  </si>
  <si>
    <t>Propane savings at $1.59/gal</t>
  </si>
  <si>
    <t>Baseline oil consumption - report</t>
  </si>
  <si>
    <t>Baseline kWh from report</t>
  </si>
  <si>
    <t>NA</t>
  </si>
  <si>
    <t>Baseline oil from recent 12 months</t>
  </si>
  <si>
    <t>Baseline kWh from recent 12 months</t>
  </si>
  <si>
    <r>
      <rPr>
        <vertAlign val="superscript"/>
        <sz val="11"/>
        <color theme="1"/>
        <rFont val="Calibri"/>
        <family val="2"/>
        <scheme val="minor"/>
      </rPr>
      <t>b</t>
    </r>
    <r>
      <rPr>
        <sz val="11"/>
        <color theme="1"/>
        <rFont val="Calibri"/>
        <family val="2"/>
        <scheme val="minor"/>
      </rPr>
      <t>Insurance payments of $5800 (occupied) and $19,519 (reevaluated as vacant) made for 18 Jacobs Rd; $5800 refunded; evaluated again as partial use, and credit of $6441.76 applied by Cabot Risk.</t>
    </r>
  </si>
  <si>
    <t>Baseline propane from report</t>
  </si>
  <si>
    <t>Baseline propane from recent 12 mo</t>
  </si>
  <si>
    <t>Baseline for partial use 18 Jacobs</t>
  </si>
  <si>
    <t>Propane with FD at 18 J</t>
  </si>
  <si>
    <t>Energy savings from ERP report and baseline adjustments from last 12 months for use in projections</t>
  </si>
  <si>
    <t xml:space="preserve">Revenue offsets - 18 J Rd demonstrated base + Post Office rental </t>
  </si>
  <si>
    <t>New FD radiant heat floor:
*Propane from FD last 12 months was $3418.44
*New residential structure with 1500sqft radiant floor heated plus hot water and stove/oven used 486 gallons propane from 9/1/2018 - 8/31/2019.
*Multiply by 3 for 4500sqft and use $1.58/gal as average cost, total is $3368/year.
*Using $3400 is logical.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</si>
</sst>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_(&quot;$&quot;* #,##0_);_(&quot;$&quot;* \(#,##0\);_(&quot;$&quot;* &quot;-&quot;??_);_(@_)"/>
  </numFmts>
  <fonts count="17" x14ac:knownFonts="1">
    <font>
      <sz val="11"/>
      <color theme="1"/>
      <name val="Calibri"/>
      <family val="2"/>
      <scheme val="minor"/>
    </font>
    <font>
      <sz val="11"/>
      <color theme="1"/>
      <name val="Calibri"/>
      <family val="2"/>
      <scheme val="minor"/>
    </font>
    <font>
      <b/>
      <sz val="11"/>
      <color theme="1"/>
      <name val="Calibri"/>
      <family val="2"/>
      <scheme val="minor"/>
    </font>
    <font>
      <b/>
      <sz val="11"/>
      <color theme="4"/>
      <name val="Calibri"/>
      <family val="2"/>
      <scheme val="minor"/>
    </font>
    <font>
      <sz val="11"/>
      <color theme="1"/>
      <name val="Courier New"/>
      <family val="3"/>
    </font>
    <font>
      <sz val="11"/>
      <color rgb="FFFF0000"/>
      <name val="Calibri"/>
      <family val="2"/>
      <scheme val="minor"/>
    </font>
    <font>
      <vertAlign val="superscript"/>
      <sz val="11"/>
      <color theme="1"/>
      <name val="Calibri"/>
      <family val="2"/>
      <scheme val="minor"/>
    </font>
    <font>
      <b/>
      <sz val="11"/>
      <color theme="4" tint="-0.249977111117893"/>
      <name val="Calibri"/>
      <family val="2"/>
      <scheme val="minor"/>
    </font>
    <font>
      <sz val="11"/>
      <color theme="4" tint="-0.249977111117893"/>
      <name val="Calibri"/>
      <family val="2"/>
      <scheme val="minor"/>
    </font>
    <font>
      <b/>
      <sz val="11"/>
      <color theme="9" tint="-0.249977111117893"/>
      <name val="Calibri"/>
      <family val="2"/>
      <scheme val="minor"/>
    </font>
    <font>
      <b/>
      <sz val="11"/>
      <color rgb="FFFF0000"/>
      <name val="Calibri"/>
      <family val="2"/>
      <scheme val="minor"/>
    </font>
    <font>
      <b/>
      <vertAlign val="superscript"/>
      <sz val="11"/>
      <color rgb="FFFF0000"/>
      <name val="Calibri"/>
      <family val="2"/>
      <scheme val="minor"/>
    </font>
    <font>
      <b/>
      <vertAlign val="superscript"/>
      <sz val="11"/>
      <color theme="1"/>
      <name val="Calibri"/>
      <family val="2"/>
      <scheme val="minor"/>
    </font>
    <font>
      <vertAlign val="superscript"/>
      <sz val="11"/>
      <color rgb="FFFF0000"/>
      <name val="Calibri"/>
      <family val="2"/>
      <scheme val="minor"/>
    </font>
    <font>
      <sz val="9"/>
      <color indexed="81"/>
      <name val="Tahoma"/>
      <family val="2"/>
    </font>
    <font>
      <b/>
      <sz val="9"/>
      <color indexed="81"/>
      <name val="Tahoma"/>
      <family val="2"/>
    </font>
    <font>
      <b/>
      <sz val="12"/>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9" tint="0.59999389629810485"/>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44" fontId="1" fillId="0" borderId="0" applyFont="0" applyFill="0" applyBorder="0" applyAlignment="0" applyProtection="0"/>
  </cellStyleXfs>
  <cellXfs count="98">
    <xf numFmtId="0" fontId="0" fillId="0" borderId="0" xfId="0"/>
    <xf numFmtId="0" fontId="2" fillId="0" borderId="0" xfId="0" applyFont="1"/>
    <xf numFmtId="4" fontId="0" fillId="0" borderId="0" xfId="0" applyNumberFormat="1"/>
    <xf numFmtId="0" fontId="0" fillId="0" borderId="0" xfId="0" applyFill="1"/>
    <xf numFmtId="0" fontId="0" fillId="0" borderId="1" xfId="0" applyBorder="1"/>
    <xf numFmtId="4" fontId="0" fillId="0" borderId="1" xfId="0" applyNumberFormat="1" applyBorder="1" applyAlignment="1">
      <alignment horizontal="right"/>
    </xf>
    <xf numFmtId="4" fontId="0" fillId="0" borderId="1" xfId="0" applyNumberFormat="1" applyFill="1" applyBorder="1" applyAlignment="1">
      <alignment horizontal="right"/>
    </xf>
    <xf numFmtId="0" fontId="2" fillId="0" borderId="1" xfId="0" applyFont="1" applyBorder="1"/>
    <xf numFmtId="4" fontId="2" fillId="0" borderId="1" xfId="0" applyNumberFormat="1" applyFont="1" applyBorder="1" applyAlignment="1">
      <alignment horizontal="right"/>
    </xf>
    <xf numFmtId="0" fontId="0" fillId="2" borderId="0" xfId="0" applyFill="1"/>
    <xf numFmtId="4" fontId="0" fillId="2" borderId="0" xfId="0" applyNumberFormat="1" applyFill="1"/>
    <xf numFmtId="0" fontId="0" fillId="0" borderId="0" xfId="0" applyAlignment="1">
      <alignment wrapText="1"/>
    </xf>
    <xf numFmtId="4" fontId="2" fillId="0" borderId="1" xfId="0" applyNumberFormat="1" applyFont="1" applyBorder="1" applyAlignment="1">
      <alignment horizontal="center" wrapText="1"/>
    </xf>
    <xf numFmtId="0" fontId="0" fillId="2" borderId="1" xfId="0" applyFill="1" applyBorder="1"/>
    <xf numFmtId="4" fontId="0" fillId="2" borderId="1" xfId="0" applyNumberFormat="1" applyFill="1" applyBorder="1"/>
    <xf numFmtId="3" fontId="0" fillId="2" borderId="1" xfId="0" applyNumberFormat="1" applyFill="1" applyBorder="1"/>
    <xf numFmtId="0" fontId="3" fillId="2" borderId="1" xfId="0" applyFont="1" applyFill="1" applyBorder="1"/>
    <xf numFmtId="0" fontId="0" fillId="2" borderId="0" xfId="0" applyFill="1" applyBorder="1"/>
    <xf numFmtId="0" fontId="0" fillId="2" borderId="0" xfId="0" applyFill="1" applyAlignment="1">
      <alignment wrapText="1"/>
    </xf>
    <xf numFmtId="0" fontId="4" fillId="0" borderId="0" xfId="0" applyFont="1" applyAlignment="1">
      <alignment horizontal="left" vertical="center" indent="10"/>
    </xf>
    <xf numFmtId="4" fontId="2" fillId="0" borderId="1" xfId="0" applyNumberFormat="1" applyFont="1" applyFill="1" applyBorder="1" applyAlignment="1">
      <alignment horizontal="center" wrapText="1"/>
    </xf>
    <xf numFmtId="0" fontId="0" fillId="0" borderId="0" xfId="0" applyFill="1" applyAlignment="1">
      <alignment horizontal="center" wrapText="1"/>
    </xf>
    <xf numFmtId="0" fontId="0" fillId="0" borderId="1" xfId="0" applyFill="1" applyBorder="1" applyAlignment="1">
      <alignment horizontal="right"/>
    </xf>
    <xf numFmtId="0" fontId="2" fillId="0" borderId="0" xfId="0" applyFont="1" applyFill="1"/>
    <xf numFmtId="4" fontId="0" fillId="0" borderId="1" xfId="0" applyNumberFormat="1" applyFill="1" applyBorder="1"/>
    <xf numFmtId="3" fontId="0" fillId="2" borderId="0" xfId="0" applyNumberFormat="1" applyFill="1" applyBorder="1"/>
    <xf numFmtId="0" fontId="0" fillId="0" borderId="0" xfId="0" applyAlignment="1">
      <alignment vertical="center"/>
    </xf>
    <xf numFmtId="0" fontId="7" fillId="3" borderId="1" xfId="0" applyFont="1" applyFill="1" applyBorder="1"/>
    <xf numFmtId="4" fontId="7" fillId="3" borderId="1" xfId="0" applyNumberFormat="1" applyFont="1" applyFill="1" applyBorder="1"/>
    <xf numFmtId="0" fontId="0" fillId="0" borderId="1" xfId="0" applyBorder="1" applyAlignment="1">
      <alignment wrapText="1"/>
    </xf>
    <xf numFmtId="4" fontId="0" fillId="0" borderId="1" xfId="0" applyNumberFormat="1" applyBorder="1" applyAlignment="1">
      <alignment horizontal="right" vertical="center"/>
    </xf>
    <xf numFmtId="0" fontId="0" fillId="0" borderId="1" xfId="0" applyFill="1" applyBorder="1" applyAlignment="1">
      <alignment horizontal="right" vertical="center"/>
    </xf>
    <xf numFmtId="4" fontId="0" fillId="2" borderId="1" xfId="0" applyNumberFormat="1" applyFill="1" applyBorder="1" applyAlignment="1">
      <alignment horizontal="right"/>
    </xf>
    <xf numFmtId="3" fontId="0" fillId="0" borderId="1" xfId="0" applyNumberFormat="1" applyBorder="1" applyAlignment="1">
      <alignment horizontal="right"/>
    </xf>
    <xf numFmtId="3" fontId="0" fillId="0" borderId="1" xfId="0" applyNumberFormat="1" applyFill="1" applyBorder="1" applyAlignment="1">
      <alignment horizontal="right"/>
    </xf>
    <xf numFmtId="3" fontId="0" fillId="0" borderId="1" xfId="0" applyNumberFormat="1" applyFill="1" applyBorder="1" applyAlignment="1">
      <alignment horizontal="right" vertical="center"/>
    </xf>
    <xf numFmtId="3" fontId="0" fillId="0" borderId="1" xfId="0" applyNumberFormat="1" applyBorder="1" applyAlignment="1">
      <alignment horizontal="right" vertical="center"/>
    </xf>
    <xf numFmtId="3" fontId="2" fillId="0" borderId="1" xfId="0" applyNumberFormat="1" applyFont="1" applyBorder="1" applyAlignment="1">
      <alignment horizontal="right"/>
    </xf>
    <xf numFmtId="3" fontId="7" fillId="3" borderId="1" xfId="0" applyNumberFormat="1" applyFont="1" applyFill="1" applyBorder="1"/>
    <xf numFmtId="164" fontId="7" fillId="0" borderId="0" xfId="1" applyNumberFormat="1" applyFont="1" applyFill="1" applyBorder="1" applyAlignment="1">
      <alignment horizontal="left" wrapText="1"/>
    </xf>
    <xf numFmtId="0" fontId="0" fillId="0" borderId="0" xfId="0" applyAlignment="1">
      <alignment horizontal="center" wrapText="1"/>
    </xf>
    <xf numFmtId="3" fontId="0" fillId="0" borderId="1" xfId="0" applyNumberFormat="1" applyBorder="1"/>
    <xf numFmtId="3" fontId="3" fillId="2" borderId="1" xfId="0" applyNumberFormat="1" applyFont="1" applyFill="1" applyBorder="1"/>
    <xf numFmtId="3" fontId="3" fillId="0" borderId="1" xfId="0" applyNumberFormat="1" applyFont="1" applyBorder="1"/>
    <xf numFmtId="0" fontId="0" fillId="2" borderId="4" xfId="0" applyFill="1" applyBorder="1"/>
    <xf numFmtId="3" fontId="0" fillId="2" borderId="4" xfId="0" applyNumberFormat="1" applyFill="1" applyBorder="1"/>
    <xf numFmtId="0" fontId="0" fillId="0" borderId="1" xfId="0" applyFill="1" applyBorder="1"/>
    <xf numFmtId="0" fontId="0" fillId="0" borderId="1" xfId="0" applyBorder="1" applyAlignment="1">
      <alignment horizontal="right"/>
    </xf>
    <xf numFmtId="4" fontId="0" fillId="0" borderId="1" xfId="0" applyNumberFormat="1" applyBorder="1"/>
    <xf numFmtId="4" fontId="3" fillId="2" borderId="1" xfId="0" applyNumberFormat="1" applyFont="1" applyFill="1" applyBorder="1"/>
    <xf numFmtId="4" fontId="3" fillId="0" borderId="1" xfId="0" applyNumberFormat="1" applyFont="1" applyBorder="1"/>
    <xf numFmtId="3" fontId="7" fillId="3" borderId="2" xfId="0" applyNumberFormat="1" applyFont="1" applyFill="1" applyBorder="1"/>
    <xf numFmtId="3" fontId="5" fillId="3" borderId="4" xfId="0" applyNumberFormat="1" applyFont="1" applyFill="1" applyBorder="1"/>
    <xf numFmtId="3" fontId="5" fillId="0" borderId="8" xfId="0" applyNumberFormat="1" applyFont="1" applyBorder="1" applyAlignment="1">
      <alignment wrapText="1"/>
    </xf>
    <xf numFmtId="3" fontId="5" fillId="0" borderId="9" xfId="0" applyNumberFormat="1" applyFont="1" applyBorder="1" applyAlignment="1">
      <alignment wrapText="1"/>
    </xf>
    <xf numFmtId="3" fontId="5" fillId="0" borderId="10" xfId="0" applyNumberFormat="1" applyFont="1" applyBorder="1" applyAlignment="1">
      <alignment wrapText="1"/>
    </xf>
    <xf numFmtId="3" fontId="0" fillId="2" borderId="0" xfId="0" applyNumberFormat="1" applyFill="1"/>
    <xf numFmtId="3" fontId="5" fillId="0" borderId="0" xfId="0" applyNumberFormat="1" applyFont="1" applyAlignment="1">
      <alignment horizontal="left" wrapText="1"/>
    </xf>
    <xf numFmtId="0" fontId="0" fillId="0" borderId="1" xfId="0" applyBorder="1" applyAlignment="1">
      <alignment vertical="center" wrapText="1"/>
    </xf>
    <xf numFmtId="3" fontId="0" fillId="0" borderId="1" xfId="0" applyNumberFormat="1" applyFill="1" applyBorder="1" applyAlignment="1">
      <alignment horizontal="left"/>
    </xf>
    <xf numFmtId="3" fontId="0" fillId="0" borderId="5" xfId="0" applyNumberFormat="1" applyBorder="1" applyAlignment="1">
      <alignment horizontal="right"/>
    </xf>
    <xf numFmtId="3" fontId="0" fillId="0" borderId="6" xfId="0" applyNumberFormat="1" applyBorder="1" applyAlignment="1">
      <alignment horizontal="right"/>
    </xf>
    <xf numFmtId="3" fontId="0" fillId="0" borderId="7" xfId="0" applyNumberFormat="1" applyBorder="1" applyAlignment="1">
      <alignment horizontal="right"/>
    </xf>
    <xf numFmtId="164" fontId="7" fillId="3" borderId="3" xfId="1" applyNumberFormat="1" applyFont="1" applyFill="1" applyBorder="1" applyAlignment="1">
      <alignment wrapText="1"/>
    </xf>
    <xf numFmtId="0" fontId="0" fillId="0" borderId="1" xfId="0" applyFill="1" applyBorder="1" applyAlignment="1">
      <alignment wrapText="1"/>
    </xf>
    <xf numFmtId="3" fontId="0" fillId="0" borderId="1" xfId="0" applyNumberFormat="1" applyFill="1" applyBorder="1"/>
    <xf numFmtId="4" fontId="5" fillId="0" borderId="1" xfId="0" applyNumberFormat="1" applyFont="1" applyFill="1" applyBorder="1"/>
    <xf numFmtId="4" fontId="5" fillId="2" borderId="1" xfId="0" applyNumberFormat="1" applyFont="1" applyFill="1" applyBorder="1"/>
    <xf numFmtId="0" fontId="0" fillId="2" borderId="0" xfId="0" applyFill="1" applyBorder="1" applyAlignment="1">
      <alignment horizontal="left"/>
    </xf>
    <xf numFmtId="0" fontId="0" fillId="0" borderId="0" xfId="0" applyFill="1" applyBorder="1"/>
    <xf numFmtId="0" fontId="0" fillId="0" borderId="0" xfId="0" quotePrefix="1" applyNumberFormat="1" applyFill="1"/>
    <xf numFmtId="0" fontId="5" fillId="0" borderId="0" xfId="0" applyFont="1" applyFill="1" applyBorder="1"/>
    <xf numFmtId="164" fontId="7" fillId="0" borderId="1" xfId="1" applyNumberFormat="1" applyFont="1" applyFill="1" applyBorder="1" applyAlignment="1">
      <alignment horizontal="left" wrapText="1"/>
    </xf>
    <xf numFmtId="0" fontId="0" fillId="3" borderId="0" xfId="0" applyFill="1" applyAlignment="1">
      <alignment vertical="center"/>
    </xf>
    <xf numFmtId="44" fontId="0" fillId="0" borderId="0" xfId="1" applyFont="1"/>
    <xf numFmtId="164" fontId="0" fillId="0" borderId="0" xfId="1" applyNumberFormat="1" applyFont="1"/>
    <xf numFmtId="164" fontId="0" fillId="0" borderId="0" xfId="0" applyNumberFormat="1"/>
    <xf numFmtId="3" fontId="0" fillId="0" borderId="0" xfId="0" applyNumberFormat="1"/>
    <xf numFmtId="4" fontId="0" fillId="4" borderId="0" xfId="0" applyNumberFormat="1" applyFill="1"/>
    <xf numFmtId="3" fontId="0" fillId="4" borderId="0" xfId="0" applyNumberFormat="1" applyFill="1"/>
    <xf numFmtId="4" fontId="2" fillId="0" borderId="0" xfId="0" applyNumberFormat="1" applyFont="1"/>
    <xf numFmtId="0" fontId="16" fillId="0" borderId="0" xfId="0" applyFont="1"/>
    <xf numFmtId="4" fontId="3" fillId="0" borderId="0" xfId="0" applyNumberFormat="1" applyFont="1" applyFill="1" applyBorder="1"/>
    <xf numFmtId="0" fontId="0" fillId="2" borderId="1" xfId="0" applyFill="1" applyBorder="1" applyAlignment="1">
      <alignment wrapText="1"/>
    </xf>
    <xf numFmtId="0" fontId="2" fillId="2" borderId="0" xfId="0" applyFont="1" applyFill="1" applyAlignment="1">
      <alignment horizontal="center"/>
    </xf>
    <xf numFmtId="0" fontId="7" fillId="3" borderId="0" xfId="0" applyFont="1" applyFill="1" applyAlignment="1">
      <alignment horizontal="center" vertical="center" wrapText="1"/>
    </xf>
    <xf numFmtId="0" fontId="7" fillId="3" borderId="0" xfId="0" applyFont="1" applyFill="1" applyAlignment="1">
      <alignment horizontal="center" vertical="center"/>
    </xf>
    <xf numFmtId="0" fontId="0" fillId="2" borderId="0" xfId="0" applyFill="1" applyBorder="1" applyAlignment="1">
      <alignment horizontal="left" vertical="top" wrapText="1"/>
    </xf>
    <xf numFmtId="3" fontId="0" fillId="2" borderId="1" xfId="0" applyNumberFormat="1" applyFill="1" applyBorder="1" applyAlignment="1">
      <alignment horizontal="right"/>
    </xf>
    <xf numFmtId="3" fontId="5" fillId="0" borderId="2" xfId="0" applyNumberFormat="1" applyFont="1" applyBorder="1" applyAlignment="1">
      <alignment horizontal="left" wrapText="1"/>
    </xf>
    <xf numFmtId="3" fontId="5" fillId="0" borderId="3" xfId="0" applyNumberFormat="1" applyFont="1" applyBorder="1" applyAlignment="1">
      <alignment horizontal="left" wrapText="1"/>
    </xf>
    <xf numFmtId="0" fontId="8" fillId="2" borderId="4" xfId="0" applyFont="1" applyFill="1" applyBorder="1" applyAlignment="1">
      <alignment horizontal="left" vertical="center" wrapText="1"/>
    </xf>
    <xf numFmtId="3" fontId="0" fillId="2" borderId="9" xfId="0" applyNumberFormat="1" applyFill="1" applyBorder="1" applyAlignment="1">
      <alignment horizontal="right"/>
    </xf>
    <xf numFmtId="0" fontId="0" fillId="2" borderId="0" xfId="0" applyFill="1" applyAlignment="1">
      <alignment horizontal="left" wrapText="1"/>
    </xf>
    <xf numFmtId="0" fontId="9" fillId="3" borderId="0" xfId="0" applyFont="1" applyFill="1" applyAlignment="1">
      <alignment horizontal="center" vertical="center" wrapText="1"/>
    </xf>
    <xf numFmtId="3" fontId="7" fillId="3" borderId="2" xfId="0" applyNumberFormat="1" applyFont="1" applyFill="1" applyBorder="1" applyAlignment="1">
      <alignment horizontal="right"/>
    </xf>
    <xf numFmtId="3" fontId="7" fillId="3" borderId="4" xfId="0" applyNumberFormat="1" applyFont="1" applyFill="1" applyBorder="1" applyAlignment="1">
      <alignment horizontal="right"/>
    </xf>
    <xf numFmtId="0" fontId="0" fillId="0" borderId="0" xfId="0" applyFill="1" applyBorder="1" applyAlignment="1">
      <alignment horizontal="left"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37"/>
  <sheetViews>
    <sheetView tabSelected="1" topLeftCell="A10" zoomScale="90" zoomScaleNormal="90" workbookViewId="0">
      <selection activeCell="A26" sqref="A26"/>
    </sheetView>
  </sheetViews>
  <sheetFormatPr defaultRowHeight="15" x14ac:dyDescent="0.25"/>
  <cols>
    <col min="1" max="1" width="33" customWidth="1"/>
    <col min="2" max="3" width="10.5703125" style="2" customWidth="1"/>
    <col min="4" max="4" width="11.5703125" style="2" customWidth="1"/>
    <col min="5" max="6" width="10.5703125" style="2" customWidth="1"/>
    <col min="7" max="7" width="10.28515625" bestFit="1" customWidth="1"/>
    <col min="9" max="10" width="9.85546875" bestFit="1" customWidth="1"/>
    <col min="19" max="19" width="14.28515625" bestFit="1" customWidth="1"/>
  </cols>
  <sheetData>
    <row r="1" spans="1:19" x14ac:dyDescent="0.25">
      <c r="A1" s="84" t="s">
        <v>36</v>
      </c>
      <c r="B1" s="84"/>
      <c r="C1" s="84"/>
      <c r="D1" s="84"/>
      <c r="E1" s="84"/>
      <c r="F1" s="84"/>
      <c r="G1" s="84"/>
    </row>
    <row r="2" spans="1:19" s="11" customFormat="1" ht="30" x14ac:dyDescent="0.25">
      <c r="A2" s="18"/>
      <c r="B2" s="12" t="s">
        <v>8</v>
      </c>
      <c r="C2" s="12" t="s">
        <v>9</v>
      </c>
      <c r="D2" s="12" t="s">
        <v>2</v>
      </c>
      <c r="E2" s="12" t="s">
        <v>3</v>
      </c>
      <c r="F2" s="12" t="s">
        <v>21</v>
      </c>
      <c r="G2" s="12" t="s">
        <v>6</v>
      </c>
      <c r="H2" s="40"/>
    </row>
    <row r="3" spans="1:19" ht="17.25" x14ac:dyDescent="0.25">
      <c r="A3" s="4" t="s">
        <v>17</v>
      </c>
      <c r="B3" s="5">
        <v>24912.185000000001</v>
      </c>
      <c r="C3" s="5">
        <v>14947.311</v>
      </c>
      <c r="D3" s="5">
        <v>9964.8740000000016</v>
      </c>
      <c r="E3" s="6"/>
      <c r="F3" s="6"/>
      <c r="G3" s="47"/>
    </row>
    <row r="4" spans="1:19" x14ac:dyDescent="0.25">
      <c r="A4" s="4" t="s">
        <v>27</v>
      </c>
      <c r="B4" s="5">
        <v>2121.4499999999998</v>
      </c>
      <c r="C4" s="5">
        <v>1629.5</v>
      </c>
      <c r="D4" s="5">
        <v>1893.21</v>
      </c>
      <c r="E4" s="5">
        <v>0</v>
      </c>
      <c r="F4" s="5">
        <v>457</v>
      </c>
      <c r="G4" s="47"/>
    </row>
    <row r="5" spans="1:19" ht="17.25" x14ac:dyDescent="0.25">
      <c r="A5" s="4" t="s">
        <v>22</v>
      </c>
      <c r="B5" s="6">
        <v>13077.24</v>
      </c>
      <c r="C5" s="6">
        <v>1058.1600000000001</v>
      </c>
      <c r="D5" s="6">
        <v>942.51</v>
      </c>
      <c r="E5" s="6">
        <v>265.83</v>
      </c>
      <c r="F5" s="6">
        <v>276.19</v>
      </c>
      <c r="G5" s="47"/>
    </row>
    <row r="6" spans="1:19" x14ac:dyDescent="0.25">
      <c r="A6" s="4" t="s">
        <v>5</v>
      </c>
      <c r="B6" s="5">
        <v>5681.26</v>
      </c>
      <c r="C6" s="5">
        <v>3455.17</v>
      </c>
      <c r="D6" s="5">
        <v>1277.98</v>
      </c>
      <c r="E6" s="6">
        <v>3471.42</v>
      </c>
      <c r="F6" s="6">
        <v>985.49</v>
      </c>
      <c r="G6" s="47"/>
    </row>
    <row r="7" spans="1:19" x14ac:dyDescent="0.25">
      <c r="A7" s="4" t="s">
        <v>0</v>
      </c>
      <c r="B7" s="5">
        <v>16526.91</v>
      </c>
      <c r="C7" s="5">
        <v>3452.3399999999997</v>
      </c>
      <c r="D7" s="5">
        <v>4994.3700000000008</v>
      </c>
      <c r="E7" s="6">
        <v>0</v>
      </c>
      <c r="F7" s="6">
        <v>0</v>
      </c>
      <c r="G7" s="47"/>
    </row>
    <row r="8" spans="1:19" x14ac:dyDescent="0.25">
      <c r="A8" s="4" t="s">
        <v>1</v>
      </c>
      <c r="B8" s="5">
        <v>211.99</v>
      </c>
      <c r="C8" s="5">
        <v>77.77</v>
      </c>
      <c r="D8" s="5">
        <v>196.92000000000002</v>
      </c>
      <c r="E8" s="6">
        <v>4471.3399999999992</v>
      </c>
      <c r="F8" s="6">
        <v>2716.5499999999997</v>
      </c>
      <c r="G8" s="47"/>
    </row>
    <row r="9" spans="1:19" x14ac:dyDescent="0.25">
      <c r="A9" s="4" t="s">
        <v>23</v>
      </c>
      <c r="B9" s="5">
        <v>10268.709999999999</v>
      </c>
      <c r="C9" s="6">
        <v>3966.9999999999991</v>
      </c>
      <c r="D9" s="6">
        <v>8108.13</v>
      </c>
      <c r="E9" s="6">
        <v>651.43999999999994</v>
      </c>
      <c r="F9" s="6">
        <v>2240.81</v>
      </c>
      <c r="G9" s="47"/>
    </row>
    <row r="10" spans="1:19" ht="17.25" x14ac:dyDescent="0.25">
      <c r="A10" s="4" t="s">
        <v>33</v>
      </c>
      <c r="B10" s="5"/>
      <c r="C10" s="6">
        <v>33554.400000000001</v>
      </c>
      <c r="D10" s="6"/>
      <c r="E10" s="6"/>
      <c r="F10" s="6"/>
      <c r="G10" s="47"/>
    </row>
    <row r="11" spans="1:19" x14ac:dyDescent="0.25">
      <c r="A11" s="4" t="s">
        <v>34</v>
      </c>
      <c r="B11" s="5"/>
      <c r="C11" s="6"/>
      <c r="D11" s="6"/>
      <c r="E11" s="6"/>
      <c r="F11" s="6"/>
      <c r="G11" s="47">
        <v>6466.35</v>
      </c>
      <c r="S11" s="74"/>
    </row>
    <row r="12" spans="1:19" s="1" customFormat="1" x14ac:dyDescent="0.25">
      <c r="A12" s="7" t="s">
        <v>4</v>
      </c>
      <c r="B12" s="8">
        <v>72799.744999999995</v>
      </c>
      <c r="C12" s="8">
        <v>62141.651000000005</v>
      </c>
      <c r="D12" s="8">
        <v>27377.994000000002</v>
      </c>
      <c r="E12" s="8">
        <v>8860.0300000000007</v>
      </c>
      <c r="F12" s="8">
        <v>6676.0399999999991</v>
      </c>
      <c r="G12" s="8">
        <v>6466.35</v>
      </c>
      <c r="J12" s="2"/>
    </row>
    <row r="13" spans="1:19" ht="17.25" x14ac:dyDescent="0.25">
      <c r="A13" s="13" t="s">
        <v>30</v>
      </c>
      <c r="B13" s="14">
        <v>7927</v>
      </c>
      <c r="C13" s="48">
        <v>20642.04</v>
      </c>
      <c r="D13" s="14">
        <v>207</v>
      </c>
      <c r="E13" s="48">
        <v>0</v>
      </c>
      <c r="F13" s="48">
        <v>0</v>
      </c>
      <c r="G13" s="48">
        <v>0</v>
      </c>
    </row>
    <row r="14" spans="1:19" x14ac:dyDescent="0.25">
      <c r="A14" s="16" t="s">
        <v>7</v>
      </c>
      <c r="B14" s="49">
        <f t="shared" ref="B14:G14" si="0">B12-B13</f>
        <v>64872.744999999995</v>
      </c>
      <c r="C14" s="49">
        <f t="shared" si="0"/>
        <v>41499.611000000004</v>
      </c>
      <c r="D14" s="49">
        <f t="shared" si="0"/>
        <v>27170.994000000002</v>
      </c>
      <c r="E14" s="50">
        <f t="shared" si="0"/>
        <v>8860.0300000000007</v>
      </c>
      <c r="F14" s="50">
        <f t="shared" si="0"/>
        <v>6676.0399999999991</v>
      </c>
      <c r="G14" s="50">
        <f t="shared" si="0"/>
        <v>6466.35</v>
      </c>
      <c r="I14" s="82"/>
      <c r="J14" s="2"/>
    </row>
    <row r="15" spans="1:19" ht="14.45" customHeight="1" x14ac:dyDescent="0.25">
      <c r="A15" s="13"/>
      <c r="B15" s="15"/>
      <c r="C15" s="15"/>
      <c r="D15" s="15"/>
      <c r="E15" s="51" t="s">
        <v>16</v>
      </c>
      <c r="F15" s="52"/>
      <c r="G15" s="63">
        <f>SUM(B14:G14)</f>
        <v>155545.77000000002</v>
      </c>
    </row>
    <row r="16" spans="1:19" x14ac:dyDescent="0.25">
      <c r="A16" s="13"/>
      <c r="B16" s="15"/>
      <c r="C16" s="15"/>
      <c r="D16" s="15"/>
      <c r="E16" s="53"/>
      <c r="F16" s="54"/>
      <c r="G16" s="55"/>
    </row>
    <row r="17" spans="1:7" x14ac:dyDescent="0.25">
      <c r="A17" s="9"/>
      <c r="B17" s="56"/>
      <c r="C17" s="56"/>
      <c r="D17" s="56"/>
      <c r="E17" s="57"/>
      <c r="F17" s="57"/>
      <c r="G17" s="57"/>
    </row>
    <row r="18" spans="1:7" ht="17.25" x14ac:dyDescent="0.25">
      <c r="A18" s="17" t="s">
        <v>10</v>
      </c>
      <c r="B18" s="10"/>
      <c r="C18" s="10"/>
      <c r="D18" s="10"/>
      <c r="E18" s="10"/>
      <c r="F18" s="10"/>
      <c r="G18" s="9"/>
    </row>
    <row r="19" spans="1:7" ht="17.25" x14ac:dyDescent="0.25">
      <c r="A19" s="17" t="s">
        <v>81</v>
      </c>
      <c r="B19" s="10"/>
      <c r="C19" s="10"/>
      <c r="D19" s="10"/>
      <c r="E19" s="10"/>
      <c r="F19" s="10"/>
      <c r="G19" s="9"/>
    </row>
    <row r="20" spans="1:7" ht="17.25" x14ac:dyDescent="0.25">
      <c r="A20" s="17" t="s">
        <v>31</v>
      </c>
    </row>
    <row r="21" spans="1:7" x14ac:dyDescent="0.25">
      <c r="A21" s="17"/>
    </row>
    <row r="22" spans="1:7" x14ac:dyDescent="0.25">
      <c r="A22" s="68" t="s">
        <v>32</v>
      </c>
    </row>
    <row r="24" spans="1:7" ht="15.75" x14ac:dyDescent="0.25">
      <c r="A24" s="81" t="s">
        <v>86</v>
      </c>
    </row>
    <row r="25" spans="1:7" s="1" customFormat="1" x14ac:dyDescent="0.25">
      <c r="B25" s="80" t="s">
        <v>65</v>
      </c>
      <c r="C25" s="80" t="s">
        <v>66</v>
      </c>
      <c r="D25" s="80" t="s">
        <v>67</v>
      </c>
      <c r="E25" s="80" t="s">
        <v>68</v>
      </c>
      <c r="F25" s="80" t="s">
        <v>69</v>
      </c>
    </row>
    <row r="26" spans="1:7" x14ac:dyDescent="0.25">
      <c r="A26" t="s">
        <v>63</v>
      </c>
      <c r="B26" s="75">
        <f>52341*0.16</f>
        <v>8374.56</v>
      </c>
      <c r="C26" s="75">
        <f>4781*0.16</f>
        <v>764.96</v>
      </c>
      <c r="D26" s="75">
        <f>1561*0.16</f>
        <v>249.76000000000002</v>
      </c>
      <c r="E26" s="75">
        <f>3597*0.16</f>
        <v>575.52</v>
      </c>
      <c r="F26" s="76">
        <f>473*0.16</f>
        <v>75.680000000000007</v>
      </c>
    </row>
    <row r="27" spans="1:7" x14ac:dyDescent="0.25">
      <c r="A27" t="s">
        <v>74</v>
      </c>
      <c r="B27" s="75">
        <f>1336*1.58</f>
        <v>2110.88</v>
      </c>
      <c r="C27" s="75">
        <f>(82+33)*1.58</f>
        <v>181.70000000000002</v>
      </c>
      <c r="D27" s="75">
        <f>(191+1004)*1.58</f>
        <v>1888.1000000000001</v>
      </c>
      <c r="E27" s="77">
        <v>0</v>
      </c>
      <c r="F27">
        <v>0</v>
      </c>
    </row>
    <row r="28" spans="1:7" x14ac:dyDescent="0.25">
      <c r="A28" t="s">
        <v>75</v>
      </c>
      <c r="B28" s="2">
        <v>0</v>
      </c>
      <c r="C28" s="2">
        <v>0</v>
      </c>
      <c r="D28" s="75">
        <f>33*1.59</f>
        <v>52.470000000000006</v>
      </c>
      <c r="E28" s="75">
        <f>(46+799)*1.58</f>
        <v>1335.1000000000001</v>
      </c>
      <c r="F28">
        <v>0</v>
      </c>
    </row>
    <row r="29" spans="1:7" x14ac:dyDescent="0.25">
      <c r="A29" t="s">
        <v>77</v>
      </c>
      <c r="B29" s="79">
        <f>97080*0.16</f>
        <v>15532.800000000001</v>
      </c>
      <c r="C29" s="77">
        <f>18786*0.16</f>
        <v>3005.76</v>
      </c>
      <c r="D29" s="77">
        <f>6175*0.16</f>
        <v>988</v>
      </c>
      <c r="E29" s="77">
        <f>11476*0.16</f>
        <v>1836.16</v>
      </c>
      <c r="F29" s="77">
        <f>6985*0.16</f>
        <v>1117.6000000000001</v>
      </c>
    </row>
    <row r="30" spans="1:7" x14ac:dyDescent="0.25">
      <c r="A30" t="s">
        <v>80</v>
      </c>
      <c r="B30" s="77">
        <v>5681</v>
      </c>
      <c r="C30" s="79">
        <f>3455</f>
        <v>3455</v>
      </c>
      <c r="D30" s="79">
        <v>1278</v>
      </c>
      <c r="E30" s="79">
        <f>3471.42</f>
        <v>3471.42</v>
      </c>
      <c r="F30" s="79">
        <v>985.49</v>
      </c>
    </row>
    <row r="31" spans="1:7" x14ac:dyDescent="0.25">
      <c r="A31" t="s">
        <v>76</v>
      </c>
      <c r="B31" s="77">
        <f>11008*1.58</f>
        <v>17392.64</v>
      </c>
      <c r="C31" s="77">
        <f>1797/2.3*1.58</f>
        <v>1234.4608695652175</v>
      </c>
      <c r="D31" s="77">
        <f>829*1.58</f>
        <v>1309.8200000000002</v>
      </c>
      <c r="E31" s="77">
        <v>0</v>
      </c>
      <c r="F31" s="77">
        <v>0</v>
      </c>
    </row>
    <row r="32" spans="1:7" x14ac:dyDescent="0.25">
      <c r="A32" t="s">
        <v>79</v>
      </c>
      <c r="B32" s="79">
        <f>9100*1.58</f>
        <v>14378</v>
      </c>
      <c r="C32" s="79">
        <f>3452.34/2.3*1.58</f>
        <v>2371.6074782608698</v>
      </c>
      <c r="D32" s="79">
        <f>4994.37/2.3*1.58</f>
        <v>3430.9150434782614</v>
      </c>
      <c r="E32" s="77">
        <v>0</v>
      </c>
      <c r="F32" s="77">
        <v>0</v>
      </c>
    </row>
    <row r="33" spans="1:6" x14ac:dyDescent="0.25">
      <c r="A33" t="s">
        <v>82</v>
      </c>
      <c r="B33" s="77" t="s">
        <v>78</v>
      </c>
      <c r="C33" s="77" t="s">
        <v>78</v>
      </c>
      <c r="D33" s="77">
        <f>74*1.58</f>
        <v>116.92</v>
      </c>
      <c r="E33" s="77">
        <f>1463*1.58</f>
        <v>2311.54</v>
      </c>
      <c r="F33" s="77">
        <f>971*1.58</f>
        <v>1534.18</v>
      </c>
    </row>
    <row r="34" spans="1:6" x14ac:dyDescent="0.25">
      <c r="A34" t="s">
        <v>83</v>
      </c>
      <c r="B34" s="79">
        <f>212/2.3*1.58</f>
        <v>145.63478260869567</v>
      </c>
      <c r="C34" s="79">
        <f>78/2.3*1.58</f>
        <v>53.582608695652183</v>
      </c>
      <c r="D34" s="79">
        <f>197/2.3*1.58</f>
        <v>135.33043478260871</v>
      </c>
      <c r="E34" s="79">
        <f>4471/2.3*1.58</f>
        <v>3071.3826086956524</v>
      </c>
      <c r="F34" s="79">
        <f>2717/2.3*1.58</f>
        <v>1866.4608695652175</v>
      </c>
    </row>
    <row r="36" spans="1:6" x14ac:dyDescent="0.25">
      <c r="A36" t="s">
        <v>84</v>
      </c>
      <c r="B36" s="2">
        <f>16527/2.3*1.58</f>
        <v>11353.330434782611</v>
      </c>
    </row>
    <row r="37" spans="1:6" x14ac:dyDescent="0.25">
      <c r="A37" t="s">
        <v>85</v>
      </c>
      <c r="B37" s="78">
        <f>(3400/2.3*1.58)+146</f>
        <v>2481.652173913044</v>
      </c>
    </row>
  </sheetData>
  <mergeCells count="1">
    <mergeCell ref="A1:G1"/>
  </mergeCell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topLeftCell="A3" workbookViewId="0">
      <selection activeCell="A25" sqref="A25"/>
    </sheetView>
  </sheetViews>
  <sheetFormatPr defaultRowHeight="15" x14ac:dyDescent="0.25"/>
  <cols>
    <col min="1" max="1" width="45" customWidth="1"/>
    <col min="2" max="2" width="13.140625" style="2" customWidth="1"/>
    <col min="3" max="3" width="8.5703125" style="2" customWidth="1"/>
    <col min="4" max="4" width="11.85546875" style="2" customWidth="1"/>
    <col min="5" max="5" width="8.140625" style="2" bestFit="1" customWidth="1"/>
    <col min="6" max="6" width="8.42578125" bestFit="1" customWidth="1"/>
  </cols>
  <sheetData>
    <row r="1" spans="1:7" s="26" customFormat="1" ht="30" customHeight="1" x14ac:dyDescent="0.25">
      <c r="A1" s="85" t="s">
        <v>14</v>
      </c>
      <c r="B1" s="86"/>
      <c r="C1" s="86"/>
      <c r="D1" s="86"/>
      <c r="E1" s="86"/>
      <c r="F1" s="86"/>
    </row>
    <row r="2" spans="1:7" s="11" customFormat="1" ht="45" x14ac:dyDescent="0.25">
      <c r="A2" s="18"/>
      <c r="B2" s="12" t="s">
        <v>44</v>
      </c>
      <c r="C2" s="12" t="s">
        <v>9</v>
      </c>
      <c r="D2" s="12" t="s">
        <v>2</v>
      </c>
      <c r="E2" s="20" t="s">
        <v>3</v>
      </c>
      <c r="F2" s="20" t="s">
        <v>6</v>
      </c>
      <c r="G2" s="21"/>
    </row>
    <row r="3" spans="1:7" x14ac:dyDescent="0.25">
      <c r="A3" s="4" t="s">
        <v>37</v>
      </c>
      <c r="B3" s="34">
        <f>-19*10*52+49824.37</f>
        <v>39944.370000000003</v>
      </c>
      <c r="C3" s="5"/>
      <c r="D3" s="5"/>
      <c r="E3" s="6"/>
      <c r="F3" s="22"/>
      <c r="G3" s="3"/>
    </row>
    <row r="4" spans="1:7" x14ac:dyDescent="0.25">
      <c r="A4" s="64" t="s">
        <v>27</v>
      </c>
      <c r="B4" s="36">
        <v>1350</v>
      </c>
      <c r="C4" s="30"/>
      <c r="D4" s="30"/>
      <c r="E4" s="35"/>
      <c r="F4" s="31"/>
      <c r="G4" s="3"/>
    </row>
    <row r="5" spans="1:7" x14ac:dyDescent="0.25">
      <c r="A5" s="64" t="s">
        <v>28</v>
      </c>
      <c r="B5" s="36">
        <v>4100</v>
      </c>
      <c r="C5" s="30"/>
      <c r="D5" s="30"/>
      <c r="E5" s="35">
        <v>1850</v>
      </c>
      <c r="F5" s="31"/>
      <c r="G5" s="3"/>
    </row>
    <row r="6" spans="1:7" ht="17.25" x14ac:dyDescent="0.25">
      <c r="A6" s="4" t="s">
        <v>51</v>
      </c>
      <c r="B6" s="34">
        <v>8000</v>
      </c>
      <c r="C6" s="32"/>
      <c r="D6" s="32"/>
      <c r="E6" s="34">
        <v>550</v>
      </c>
      <c r="F6" s="22"/>
      <c r="G6" s="69"/>
    </row>
    <row r="7" spans="1:7" ht="17.25" x14ac:dyDescent="0.25">
      <c r="A7" s="46" t="s">
        <v>39</v>
      </c>
      <c r="B7" s="34">
        <v>8068</v>
      </c>
      <c r="C7" s="5"/>
      <c r="D7" s="5"/>
      <c r="E7" s="33">
        <v>3805</v>
      </c>
      <c r="F7" s="22"/>
      <c r="G7" s="69"/>
    </row>
    <row r="8" spans="1:7" ht="17.25" x14ac:dyDescent="0.25">
      <c r="A8" s="64" t="s">
        <v>53</v>
      </c>
      <c r="B8" s="34">
        <f>(9100-1336)*1.58</f>
        <v>12267.12</v>
      </c>
      <c r="C8" s="5"/>
      <c r="D8" s="5"/>
      <c r="E8" s="33">
        <v>0</v>
      </c>
      <c r="F8" s="22"/>
      <c r="G8" s="69"/>
    </row>
    <row r="9" spans="1:7" x14ac:dyDescent="0.25">
      <c r="A9" s="46" t="s">
        <v>15</v>
      </c>
      <c r="B9" s="33">
        <v>2482</v>
      </c>
      <c r="C9" s="5"/>
      <c r="D9" s="5"/>
      <c r="E9" s="33">
        <f>3071+1866-1335</f>
        <v>3602</v>
      </c>
      <c r="F9" s="22"/>
      <c r="G9" s="69"/>
    </row>
    <row r="10" spans="1:7" ht="17.25" x14ac:dyDescent="0.25">
      <c r="A10" s="46" t="s">
        <v>41</v>
      </c>
      <c r="B10" s="34">
        <v>33554.400000000001</v>
      </c>
      <c r="C10" s="5"/>
      <c r="D10" s="5"/>
      <c r="E10" s="34"/>
      <c r="F10" s="22"/>
      <c r="G10" s="3"/>
    </row>
    <row r="11" spans="1:7" x14ac:dyDescent="0.25">
      <c r="A11" s="4" t="s">
        <v>12</v>
      </c>
      <c r="B11" s="5"/>
      <c r="C11" s="6"/>
      <c r="D11" s="6"/>
      <c r="E11" s="6"/>
      <c r="F11" s="22">
        <f>5500+966.35</f>
        <v>6466.35</v>
      </c>
      <c r="G11" s="3"/>
    </row>
    <row r="12" spans="1:7" s="1" customFormat="1" x14ac:dyDescent="0.25">
      <c r="A12" s="7" t="s">
        <v>4</v>
      </c>
      <c r="B12" s="37">
        <f>SUM(B3:B11)</f>
        <v>109765.89000000001</v>
      </c>
      <c r="C12" s="8">
        <f>SUM(C3:C11)</f>
        <v>0</v>
      </c>
      <c r="D12" s="8">
        <f>SUM(D3:D11)</f>
        <v>0</v>
      </c>
      <c r="E12" s="8">
        <f>SUM(E3:E11)</f>
        <v>9807</v>
      </c>
      <c r="F12" s="8">
        <f>SUM(F3:F11)</f>
        <v>6466.35</v>
      </c>
      <c r="G12" s="23"/>
    </row>
    <row r="13" spans="1:7" ht="30" x14ac:dyDescent="0.25">
      <c r="A13" s="83" t="s">
        <v>87</v>
      </c>
      <c r="B13" s="65">
        <f>13700+20642.04</f>
        <v>34342.04</v>
      </c>
      <c r="C13" s="66"/>
      <c r="D13" s="67"/>
      <c r="E13" s="24">
        <v>0</v>
      </c>
      <c r="F13" s="24">
        <v>0</v>
      </c>
      <c r="G13" s="3"/>
    </row>
    <row r="14" spans="1:7" x14ac:dyDescent="0.25">
      <c r="A14" s="27" t="s">
        <v>7</v>
      </c>
      <c r="B14" s="38">
        <f>B12-B13</f>
        <v>75423.850000000006</v>
      </c>
      <c r="C14" s="28">
        <f t="shared" ref="C14:F14" si="0">C12-C13</f>
        <v>0</v>
      </c>
      <c r="D14" s="28">
        <f t="shared" si="0"/>
        <v>0</v>
      </c>
      <c r="E14" s="28">
        <f t="shared" si="0"/>
        <v>9807</v>
      </c>
      <c r="F14" s="28">
        <f t="shared" si="0"/>
        <v>6466.35</v>
      </c>
      <c r="G14" s="3"/>
    </row>
    <row r="15" spans="1:7" x14ac:dyDescent="0.25">
      <c r="A15" s="17"/>
      <c r="B15" s="25"/>
      <c r="C15" s="88" t="s">
        <v>16</v>
      </c>
      <c r="D15" s="88"/>
      <c r="E15" s="88"/>
      <c r="F15" s="72">
        <f>SUM(B14:F14)</f>
        <v>91697.200000000012</v>
      </c>
      <c r="G15" s="3"/>
    </row>
    <row r="16" spans="1:7" ht="17.25" x14ac:dyDescent="0.25">
      <c r="A16" s="17" t="s">
        <v>40</v>
      </c>
      <c r="B16" s="10"/>
      <c r="C16" s="10"/>
      <c r="D16" s="10"/>
      <c r="E16" s="10"/>
      <c r="F16" s="9"/>
    </row>
    <row r="17" spans="1:6" ht="17.25" x14ac:dyDescent="0.25">
      <c r="A17" s="17" t="s">
        <v>42</v>
      </c>
    </row>
    <row r="18" spans="1:6" ht="17.25" x14ac:dyDescent="0.25">
      <c r="A18" s="17" t="s">
        <v>50</v>
      </c>
    </row>
    <row r="19" spans="1:6" ht="17.25" x14ac:dyDescent="0.25">
      <c r="A19" s="17" t="s">
        <v>43</v>
      </c>
    </row>
    <row r="20" spans="1:6" x14ac:dyDescent="0.25">
      <c r="A20" s="17" t="s">
        <v>52</v>
      </c>
    </row>
    <row r="21" spans="1:6" ht="17.25" x14ac:dyDescent="0.25">
      <c r="A21" s="71" t="s">
        <v>62</v>
      </c>
    </row>
    <row r="22" spans="1:6" ht="137.44999999999999" customHeight="1" x14ac:dyDescent="0.25">
      <c r="A22" s="87" t="s">
        <v>88</v>
      </c>
      <c r="B22" s="87"/>
      <c r="C22" s="87"/>
      <c r="D22" s="87"/>
      <c r="E22" s="87"/>
      <c r="F22" s="87"/>
    </row>
    <row r="23" spans="1:6" x14ac:dyDescent="0.25">
      <c r="A23" s="17"/>
    </row>
    <row r="25" spans="1:6" x14ac:dyDescent="0.25">
      <c r="A25" s="17" t="s">
        <v>19</v>
      </c>
    </row>
    <row r="26" spans="1:6" x14ac:dyDescent="0.25">
      <c r="A26" s="69"/>
      <c r="B26" s="70"/>
    </row>
    <row r="27" spans="1:6" ht="13.15" customHeight="1" x14ac:dyDescent="0.25"/>
    <row r="28" spans="1:6" hidden="1" x14ac:dyDescent="0.25"/>
    <row r="29" spans="1:6" hidden="1" x14ac:dyDescent="0.25"/>
  </sheetData>
  <mergeCells count="3">
    <mergeCell ref="A1:F1"/>
    <mergeCell ref="A22:F22"/>
    <mergeCell ref="C15:E15"/>
  </mergeCells>
  <pageMargins left="0.7" right="0.7" top="0.75" bottom="0.75" header="0.3" footer="0.3"/>
  <pageSetup orientation="portrait"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workbookViewId="0">
      <selection activeCell="C8" sqref="C8"/>
    </sheetView>
  </sheetViews>
  <sheetFormatPr defaultRowHeight="15" x14ac:dyDescent="0.25"/>
  <cols>
    <col min="1" max="1" width="41.42578125" customWidth="1"/>
    <col min="2" max="2" width="10.5703125" style="2" bestFit="1" customWidth="1"/>
    <col min="3" max="3" width="9" style="2" bestFit="1" customWidth="1"/>
    <col min="4" max="4" width="11.28515625" style="2" bestFit="1" customWidth="1"/>
    <col min="5" max="5" width="10.5703125" style="2" bestFit="1" customWidth="1"/>
    <col min="6" max="6" width="9.42578125" bestFit="1" customWidth="1"/>
  </cols>
  <sheetData>
    <row r="1" spans="1:7" s="26" customFormat="1" ht="30" customHeight="1" x14ac:dyDescent="0.25">
      <c r="A1" s="85" t="s">
        <v>18</v>
      </c>
      <c r="B1" s="86"/>
      <c r="C1" s="86"/>
      <c r="D1" s="86"/>
      <c r="E1" s="86"/>
      <c r="F1" s="73"/>
    </row>
    <row r="2" spans="1:7" s="11" customFormat="1" ht="45" x14ac:dyDescent="0.25">
      <c r="A2" s="18"/>
      <c r="B2" s="12" t="s">
        <v>38</v>
      </c>
      <c r="C2" s="12" t="s">
        <v>9</v>
      </c>
      <c r="D2" s="12" t="s">
        <v>54</v>
      </c>
      <c r="E2" s="12" t="s">
        <v>3</v>
      </c>
      <c r="F2" s="12" t="s">
        <v>6</v>
      </c>
      <c r="G2" s="40"/>
    </row>
    <row r="3" spans="1:7" ht="17.25" x14ac:dyDescent="0.25">
      <c r="A3" s="4" t="s">
        <v>20</v>
      </c>
      <c r="B3" s="33">
        <f>49824.37*0.5</f>
        <v>24912.185000000001</v>
      </c>
      <c r="C3" s="33">
        <f>49824.37*0.3</f>
        <v>14947.311</v>
      </c>
      <c r="D3" s="33">
        <f>49824.37*0.2</f>
        <v>9964.8740000000016</v>
      </c>
      <c r="E3" s="33"/>
      <c r="F3" s="33"/>
    </row>
    <row r="4" spans="1:7" x14ac:dyDescent="0.25">
      <c r="A4" s="4" t="s">
        <v>27</v>
      </c>
      <c r="B4" s="36">
        <v>1350</v>
      </c>
      <c r="C4" s="33">
        <v>1050</v>
      </c>
      <c r="D4" s="33">
        <v>1100</v>
      </c>
      <c r="E4" s="33"/>
      <c r="F4" s="33"/>
    </row>
    <row r="5" spans="1:7" ht="45" x14ac:dyDescent="0.25">
      <c r="A5" s="29" t="s">
        <v>29</v>
      </c>
      <c r="B5" s="35">
        <v>4100</v>
      </c>
      <c r="C5" s="35">
        <v>3600</v>
      </c>
      <c r="D5" s="35">
        <v>5100</v>
      </c>
      <c r="E5" s="35">
        <v>1850</v>
      </c>
      <c r="F5" s="33"/>
    </row>
    <row r="6" spans="1:7" ht="17.25" x14ac:dyDescent="0.25">
      <c r="A6" s="4" t="s">
        <v>45</v>
      </c>
      <c r="B6" s="34">
        <v>8000</v>
      </c>
      <c r="C6" s="34">
        <v>1100</v>
      </c>
      <c r="D6" s="34">
        <v>2000</v>
      </c>
      <c r="E6" s="34">
        <v>300</v>
      </c>
      <c r="F6" s="33"/>
    </row>
    <row r="7" spans="1:7" x14ac:dyDescent="0.25">
      <c r="A7" s="4" t="s">
        <v>5</v>
      </c>
      <c r="B7" s="34">
        <f>(15533-8375)+(986-76)</f>
        <v>8068</v>
      </c>
      <c r="C7" s="33">
        <f>(3453/2.3*1.65)-765</f>
        <v>1712.1521739130435</v>
      </c>
      <c r="D7" s="33">
        <f>1278-250</f>
        <v>1028</v>
      </c>
      <c r="E7" s="33">
        <f>(3471-576)+(986-76)</f>
        <v>3805</v>
      </c>
      <c r="F7" s="33"/>
    </row>
    <row r="8" spans="1:7" x14ac:dyDescent="0.25">
      <c r="A8" s="46" t="s">
        <v>71</v>
      </c>
      <c r="B8" s="34">
        <f>(9100*1.58)-2111</f>
        <v>12267</v>
      </c>
      <c r="C8" s="33">
        <f>2372-182</f>
        <v>2190</v>
      </c>
      <c r="D8" s="33">
        <f>3431-1888</f>
        <v>1543</v>
      </c>
      <c r="E8" s="33"/>
      <c r="F8" s="33"/>
    </row>
    <row r="9" spans="1:7" ht="17.25" x14ac:dyDescent="0.25">
      <c r="A9" s="4" t="s">
        <v>47</v>
      </c>
      <c r="B9" s="33">
        <f>2482</f>
        <v>2482</v>
      </c>
      <c r="C9" s="33">
        <v>54</v>
      </c>
      <c r="D9" s="33">
        <f>135-52</f>
        <v>83</v>
      </c>
      <c r="E9" s="33">
        <f>3071+1866-1335</f>
        <v>3602</v>
      </c>
      <c r="F9" s="33"/>
    </row>
    <row r="10" spans="1:7" ht="17.25" x14ac:dyDescent="0.25">
      <c r="A10" s="4" t="s">
        <v>33</v>
      </c>
      <c r="B10" s="5"/>
      <c r="C10" s="34">
        <v>33554</v>
      </c>
      <c r="D10" s="33"/>
      <c r="E10" s="33"/>
      <c r="F10" s="33"/>
    </row>
    <row r="11" spans="1:7" x14ac:dyDescent="0.25">
      <c r="A11" s="4" t="s">
        <v>12</v>
      </c>
      <c r="B11" s="33"/>
      <c r="C11" s="33"/>
      <c r="D11" s="33"/>
      <c r="E11" s="33"/>
      <c r="F11" s="33">
        <f>5500+966.35</f>
        <v>6466.35</v>
      </c>
    </row>
    <row r="12" spans="1:7" s="1" customFormat="1" x14ac:dyDescent="0.25">
      <c r="A12" s="7" t="s">
        <v>4</v>
      </c>
      <c r="B12" s="37">
        <f>SUM(B3:B11)</f>
        <v>61179.184999999998</v>
      </c>
      <c r="C12" s="37">
        <f>SUM(C3:C11)</f>
        <v>58207.463173913042</v>
      </c>
      <c r="D12" s="37">
        <f>SUM(D3:D11)</f>
        <v>20818.874000000003</v>
      </c>
      <c r="E12" s="37">
        <f>SUM(E3:E11)</f>
        <v>9557</v>
      </c>
      <c r="F12" s="37">
        <f>SUM(F3:F11)</f>
        <v>6466.35</v>
      </c>
    </row>
    <row r="13" spans="1:7" x14ac:dyDescent="0.25">
      <c r="A13" s="13" t="s">
        <v>11</v>
      </c>
      <c r="B13" s="15">
        <v>13700</v>
      </c>
      <c r="C13" s="41">
        <v>20642.04</v>
      </c>
      <c r="D13" s="15">
        <v>0</v>
      </c>
      <c r="E13" s="41">
        <v>0</v>
      </c>
      <c r="F13" s="41">
        <v>0</v>
      </c>
    </row>
    <row r="14" spans="1:7" x14ac:dyDescent="0.25">
      <c r="A14" s="16" t="s">
        <v>7</v>
      </c>
      <c r="B14" s="42">
        <f t="shared" ref="B14:F14" si="0">B12-B13</f>
        <v>47479.184999999998</v>
      </c>
      <c r="C14" s="42">
        <f t="shared" si="0"/>
        <v>37565.423173913041</v>
      </c>
      <c r="D14" s="42">
        <f t="shared" si="0"/>
        <v>20818.874000000003</v>
      </c>
      <c r="E14" s="43">
        <f t="shared" si="0"/>
        <v>9557</v>
      </c>
      <c r="F14" s="43">
        <f t="shared" si="0"/>
        <v>6466.35</v>
      </c>
    </row>
    <row r="15" spans="1:7" ht="14.45" customHeight="1" x14ac:dyDescent="0.25">
      <c r="A15" s="13"/>
      <c r="B15" s="15"/>
      <c r="C15" s="15"/>
      <c r="D15" s="15"/>
      <c r="E15" s="89"/>
      <c r="F15" s="90"/>
    </row>
    <row r="16" spans="1:7" ht="14.45" customHeight="1" x14ac:dyDescent="0.25">
      <c r="A16" s="44"/>
      <c r="B16" s="45"/>
      <c r="C16" s="92" t="s">
        <v>16</v>
      </c>
      <c r="D16" s="92"/>
      <c r="E16" s="92"/>
      <c r="F16" s="39">
        <f>SUM(B14:F14)</f>
        <v>121886.83217391305</v>
      </c>
    </row>
    <row r="17" spans="1:6" ht="76.5" customHeight="1" x14ac:dyDescent="0.25">
      <c r="A17" s="91" t="s">
        <v>57</v>
      </c>
      <c r="B17" s="91"/>
      <c r="C17" s="91"/>
      <c r="D17" s="91"/>
      <c r="E17" s="91"/>
      <c r="F17" s="91"/>
    </row>
    <row r="18" spans="1:6" ht="17.25" x14ac:dyDescent="0.25">
      <c r="A18" s="9" t="s">
        <v>10</v>
      </c>
      <c r="B18" s="10"/>
      <c r="C18" s="10"/>
      <c r="D18" s="10"/>
      <c r="E18" s="10"/>
      <c r="F18" s="9"/>
    </row>
    <row r="19" spans="1:6" ht="30" customHeight="1" x14ac:dyDescent="0.25">
      <c r="A19" s="93" t="s">
        <v>56</v>
      </c>
      <c r="B19" s="93"/>
      <c r="C19" s="93"/>
      <c r="D19" s="93"/>
      <c r="E19" s="93"/>
      <c r="F19" s="93"/>
    </row>
    <row r="20" spans="1:6" ht="17.25" x14ac:dyDescent="0.25">
      <c r="A20" s="9" t="s">
        <v>46</v>
      </c>
      <c r="B20" s="10"/>
      <c r="C20" s="10"/>
      <c r="D20" s="10"/>
      <c r="E20" s="10"/>
      <c r="F20" s="9"/>
    </row>
    <row r="21" spans="1:6" ht="17.25" x14ac:dyDescent="0.25">
      <c r="A21" s="9" t="s">
        <v>55</v>
      </c>
      <c r="B21" s="10"/>
      <c r="C21" s="10"/>
      <c r="D21" s="10"/>
      <c r="E21" s="10"/>
      <c r="F21" s="9"/>
    </row>
    <row r="23" spans="1:6" x14ac:dyDescent="0.25">
      <c r="A23" s="19" t="s">
        <v>64</v>
      </c>
    </row>
    <row r="24" spans="1:6" x14ac:dyDescent="0.25">
      <c r="B24" s="2" t="s">
        <v>65</v>
      </c>
      <c r="C24" s="2" t="s">
        <v>66</v>
      </c>
      <c r="D24" s="2" t="s">
        <v>67</v>
      </c>
      <c r="E24" s="2" t="s">
        <v>68</v>
      </c>
      <c r="F24" s="2" t="s">
        <v>69</v>
      </c>
    </row>
    <row r="25" spans="1:6" x14ac:dyDescent="0.25">
      <c r="A25" t="s">
        <v>63</v>
      </c>
      <c r="B25" s="75">
        <f>52341*0.16</f>
        <v>8374.56</v>
      </c>
      <c r="C25" s="75">
        <f>4781*0.16</f>
        <v>764.96</v>
      </c>
      <c r="D25" s="75">
        <f>1561*0.16</f>
        <v>249.76000000000002</v>
      </c>
      <c r="E25" s="75">
        <f>3597*0.16</f>
        <v>575.52</v>
      </c>
      <c r="F25" s="76">
        <f>473*0.16</f>
        <v>75.680000000000007</v>
      </c>
    </row>
    <row r="26" spans="1:6" x14ac:dyDescent="0.25">
      <c r="A26" t="s">
        <v>70</v>
      </c>
      <c r="B26" s="75">
        <f>1336*1.58</f>
        <v>2110.88</v>
      </c>
      <c r="C26" s="75">
        <f>(82+33)*1.58</f>
        <v>181.70000000000002</v>
      </c>
      <c r="D26" s="75">
        <f>(191+1004)*1.58</f>
        <v>1888.1000000000001</v>
      </c>
      <c r="E26" s="77">
        <v>0</v>
      </c>
      <c r="F26">
        <v>0</v>
      </c>
    </row>
    <row r="27" spans="1:6" x14ac:dyDescent="0.25">
      <c r="A27" t="s">
        <v>72</v>
      </c>
      <c r="B27" s="2">
        <v>0</v>
      </c>
      <c r="C27" s="2">
        <v>0</v>
      </c>
      <c r="D27" s="75">
        <f>33*1.59</f>
        <v>52.470000000000006</v>
      </c>
      <c r="E27" s="75">
        <f>(46+799)*1.58</f>
        <v>1335.1000000000001</v>
      </c>
      <c r="F27">
        <v>0</v>
      </c>
    </row>
    <row r="28" spans="1:6" x14ac:dyDescent="0.25">
      <c r="A28" t="s">
        <v>73</v>
      </c>
      <c r="B28" s="2">
        <f>97080*0.16</f>
        <v>15532.800000000001</v>
      </c>
      <c r="C28" s="2">
        <f>18786*0.16</f>
        <v>3005.76</v>
      </c>
      <c r="F28">
        <f>6985*0.16</f>
        <v>1117.6000000000001</v>
      </c>
    </row>
  </sheetData>
  <mergeCells count="5">
    <mergeCell ref="E15:F15"/>
    <mergeCell ref="A1:E1"/>
    <mergeCell ref="A17:F17"/>
    <mergeCell ref="C16:E16"/>
    <mergeCell ref="A19:F1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workbookViewId="0">
      <selection activeCell="F9" sqref="F9"/>
    </sheetView>
  </sheetViews>
  <sheetFormatPr defaultRowHeight="15" x14ac:dyDescent="0.25"/>
  <cols>
    <col min="1" max="1" width="43.28515625" customWidth="1"/>
    <col min="2" max="2" width="9.5703125" style="2" customWidth="1"/>
    <col min="3" max="3" width="9.140625" style="2" bestFit="1" customWidth="1"/>
    <col min="4" max="4" width="11.140625" style="2" customWidth="1"/>
    <col min="5" max="5" width="7.7109375" style="2" customWidth="1"/>
    <col min="6" max="6" width="7.28515625" style="2" bestFit="1" customWidth="1"/>
    <col min="7" max="7" width="8.42578125" bestFit="1" customWidth="1"/>
  </cols>
  <sheetData>
    <row r="1" spans="1:8" s="26" customFormat="1" ht="30" customHeight="1" x14ac:dyDescent="0.25">
      <c r="A1" s="94" t="s">
        <v>25</v>
      </c>
      <c r="B1" s="94"/>
      <c r="C1" s="94"/>
      <c r="D1" s="94"/>
      <c r="E1" s="94"/>
      <c r="F1" s="94"/>
      <c r="G1" s="94"/>
    </row>
    <row r="2" spans="1:8" s="11" customFormat="1" ht="47.25" x14ac:dyDescent="0.25">
      <c r="A2" s="18"/>
      <c r="B2" s="12" t="s">
        <v>8</v>
      </c>
      <c r="C2" s="12" t="s">
        <v>9</v>
      </c>
      <c r="D2" s="12" t="s">
        <v>2</v>
      </c>
      <c r="E2" s="12" t="s">
        <v>49</v>
      </c>
      <c r="F2" s="12" t="s">
        <v>21</v>
      </c>
      <c r="G2" s="12" t="s">
        <v>6</v>
      </c>
      <c r="H2" s="40"/>
    </row>
    <row r="3" spans="1:8" x14ac:dyDescent="0.25">
      <c r="A3" s="4" t="s">
        <v>13</v>
      </c>
      <c r="B3" s="33"/>
      <c r="C3" s="33">
        <f>19760*0.6</f>
        <v>11856</v>
      </c>
      <c r="D3" s="33">
        <f>19760*0.4</f>
        <v>7904</v>
      </c>
      <c r="E3" s="33"/>
      <c r="F3" s="33"/>
      <c r="G3" s="33"/>
    </row>
    <row r="4" spans="1:8" x14ac:dyDescent="0.25">
      <c r="A4" s="4" t="s">
        <v>27</v>
      </c>
      <c r="B4" s="33"/>
      <c r="C4" s="33">
        <v>1050</v>
      </c>
      <c r="D4" s="33">
        <v>1100</v>
      </c>
      <c r="E4" s="33"/>
      <c r="F4" s="33"/>
      <c r="G4" s="33"/>
    </row>
    <row r="5" spans="1:8" s="26" customFormat="1" ht="33.75" customHeight="1" x14ac:dyDescent="0.25">
      <c r="A5" s="58" t="s">
        <v>29</v>
      </c>
      <c r="B5" s="36"/>
      <c r="C5" s="35">
        <v>3600</v>
      </c>
      <c r="D5" s="35">
        <v>5100</v>
      </c>
      <c r="E5" s="35">
        <v>1850</v>
      </c>
      <c r="F5" s="35">
        <v>600</v>
      </c>
      <c r="G5" s="36"/>
      <c r="H5"/>
    </row>
    <row r="6" spans="1:8" ht="17.25" x14ac:dyDescent="0.25">
      <c r="A6" s="4" t="s">
        <v>22</v>
      </c>
      <c r="B6" s="59"/>
      <c r="C6" s="34">
        <v>1100</v>
      </c>
      <c r="D6" s="34">
        <v>1000</v>
      </c>
      <c r="E6" s="34">
        <v>350</v>
      </c>
      <c r="F6" s="34">
        <v>280</v>
      </c>
      <c r="G6" s="33"/>
    </row>
    <row r="7" spans="1:8" x14ac:dyDescent="0.25">
      <c r="A7" s="4" t="s">
        <v>5</v>
      </c>
      <c r="B7" s="33"/>
      <c r="C7" s="33">
        <f>3455-765</f>
        <v>2690</v>
      </c>
      <c r="D7" s="33">
        <f>1278-250</f>
        <v>1028</v>
      </c>
      <c r="E7" s="34">
        <f>(3471-576)*1.25</f>
        <v>3618.75</v>
      </c>
      <c r="F7" s="33">
        <f>986-76</f>
        <v>910</v>
      </c>
      <c r="G7" s="33"/>
    </row>
    <row r="8" spans="1:8" x14ac:dyDescent="0.25">
      <c r="A8" s="4" t="s">
        <v>71</v>
      </c>
      <c r="B8" s="33"/>
      <c r="C8" s="33">
        <f>2372-182</f>
        <v>2190</v>
      </c>
      <c r="D8" s="33">
        <f>3431-1888</f>
        <v>1543</v>
      </c>
      <c r="E8" s="33"/>
      <c r="F8" s="33"/>
      <c r="G8" s="33"/>
    </row>
    <row r="9" spans="1:8" x14ac:dyDescent="0.25">
      <c r="A9" s="4" t="s">
        <v>1</v>
      </c>
      <c r="B9" s="33"/>
      <c r="C9" s="33">
        <v>54</v>
      </c>
      <c r="D9" s="33">
        <f>135-52</f>
        <v>83</v>
      </c>
      <c r="E9" s="34">
        <f>(3071-1335)*1.25</f>
        <v>2170</v>
      </c>
      <c r="F9" s="33">
        <f>1866</f>
        <v>1866</v>
      </c>
      <c r="G9" s="33"/>
    </row>
    <row r="10" spans="1:8" ht="17.25" x14ac:dyDescent="0.25">
      <c r="A10" s="4" t="s">
        <v>33</v>
      </c>
      <c r="B10" s="5"/>
      <c r="C10" s="34">
        <v>33554.400000000001</v>
      </c>
      <c r="D10" s="33"/>
      <c r="E10" s="33"/>
      <c r="F10" s="33"/>
      <c r="G10" s="33"/>
    </row>
    <row r="11" spans="1:8" x14ac:dyDescent="0.25">
      <c r="A11" s="4" t="s">
        <v>26</v>
      </c>
      <c r="B11" s="33"/>
      <c r="C11" s="33"/>
      <c r="D11" s="33"/>
      <c r="E11" s="33"/>
      <c r="F11" s="33"/>
      <c r="G11" s="33">
        <v>6466.35</v>
      </c>
    </row>
    <row r="12" spans="1:8" s="1" customFormat="1" x14ac:dyDescent="0.25">
      <c r="A12" s="7" t="s">
        <v>4</v>
      </c>
      <c r="B12" s="37">
        <f>SUM(B3:B11)</f>
        <v>0</v>
      </c>
      <c r="C12" s="37">
        <f>SUM(C3:C11)</f>
        <v>56094.400000000001</v>
      </c>
      <c r="D12" s="37">
        <f t="shared" ref="D12:G12" si="0">SUM(D3:D11)</f>
        <v>17758</v>
      </c>
      <c r="E12" s="37">
        <f t="shared" si="0"/>
        <v>7988.75</v>
      </c>
      <c r="F12" s="37">
        <f t="shared" si="0"/>
        <v>3656</v>
      </c>
      <c r="G12" s="37">
        <f t="shared" si="0"/>
        <v>6466.35</v>
      </c>
    </row>
    <row r="13" spans="1:8" ht="17.25" x14ac:dyDescent="0.25">
      <c r="A13" s="13" t="s">
        <v>59</v>
      </c>
      <c r="B13" s="15"/>
      <c r="C13" s="41">
        <v>20642.04</v>
      </c>
      <c r="D13" s="15">
        <v>300</v>
      </c>
      <c r="E13" s="41">
        <v>0</v>
      </c>
      <c r="F13" s="41">
        <v>0</v>
      </c>
      <c r="G13" s="41">
        <v>0</v>
      </c>
    </row>
    <row r="14" spans="1:8" x14ac:dyDescent="0.25">
      <c r="A14" s="16" t="s">
        <v>7</v>
      </c>
      <c r="B14" s="42">
        <f t="shared" ref="B14:G14" si="1">B12-B13</f>
        <v>0</v>
      </c>
      <c r="C14" s="42">
        <f t="shared" si="1"/>
        <v>35452.36</v>
      </c>
      <c r="D14" s="42">
        <f t="shared" si="1"/>
        <v>17458</v>
      </c>
      <c r="E14" s="43">
        <f t="shared" si="1"/>
        <v>7988.75</v>
      </c>
      <c r="F14" s="43">
        <f t="shared" si="1"/>
        <v>3656</v>
      </c>
      <c r="G14" s="43">
        <f t="shared" si="1"/>
        <v>6466.35</v>
      </c>
    </row>
    <row r="15" spans="1:8" ht="14.45" customHeight="1" x14ac:dyDescent="0.25">
      <c r="A15" s="13"/>
      <c r="B15" s="15"/>
      <c r="C15" s="15"/>
      <c r="D15" s="95" t="s">
        <v>16</v>
      </c>
      <c r="E15" s="96"/>
      <c r="F15" s="96"/>
      <c r="G15" s="63">
        <f>SUM(B14:G14)</f>
        <v>71021.460000000006</v>
      </c>
    </row>
    <row r="16" spans="1:8" x14ac:dyDescent="0.25">
      <c r="A16" s="9"/>
      <c r="B16" s="56"/>
      <c r="C16" s="56"/>
      <c r="D16" s="56"/>
      <c r="E16" s="57"/>
      <c r="F16" s="57"/>
      <c r="G16" s="57"/>
    </row>
    <row r="17" spans="1:7" ht="17.25" x14ac:dyDescent="0.25">
      <c r="A17" s="9" t="s">
        <v>10</v>
      </c>
      <c r="B17" s="10"/>
      <c r="C17" s="10"/>
      <c r="D17" s="10"/>
      <c r="E17" s="10"/>
      <c r="F17" s="10"/>
      <c r="G17" s="9"/>
    </row>
    <row r="18" spans="1:7" ht="17.25" x14ac:dyDescent="0.25">
      <c r="A18" s="17" t="s">
        <v>58</v>
      </c>
    </row>
    <row r="19" spans="1:7" x14ac:dyDescent="0.25">
      <c r="A19" s="17" t="s">
        <v>35</v>
      </c>
    </row>
    <row r="20" spans="1:7" ht="17.25" x14ac:dyDescent="0.25">
      <c r="A20" s="69" t="s">
        <v>60</v>
      </c>
    </row>
  </sheetData>
  <mergeCells count="2">
    <mergeCell ref="A1:G1"/>
    <mergeCell ref="D15:F15"/>
  </mergeCells>
  <pageMargins left="0.7" right="0.7" top="0.75" bottom="0.75" header="0.3" footer="0.3"/>
  <pageSetup orientation="portrait" horizontalDpi="4294967293" vertic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workbookViewId="0">
      <selection activeCell="E9" sqref="E9"/>
    </sheetView>
  </sheetViews>
  <sheetFormatPr defaultRowHeight="15" x14ac:dyDescent="0.25"/>
  <cols>
    <col min="1" max="1" width="29.42578125" customWidth="1"/>
    <col min="2" max="2" width="9.7109375" style="2" customWidth="1"/>
    <col min="3" max="3" width="9.140625" style="2" bestFit="1" customWidth="1"/>
    <col min="4" max="4" width="13" style="2" customWidth="1"/>
    <col min="5" max="6" width="8" style="2" customWidth="1"/>
    <col min="7" max="7" width="9.42578125" bestFit="1" customWidth="1"/>
  </cols>
  <sheetData>
    <row r="1" spans="1:8" s="26" customFormat="1" ht="30" customHeight="1" x14ac:dyDescent="0.25">
      <c r="A1" s="94" t="s">
        <v>24</v>
      </c>
      <c r="B1" s="94"/>
      <c r="C1" s="94"/>
      <c r="D1" s="94"/>
      <c r="E1" s="94"/>
      <c r="F1" s="94"/>
      <c r="G1" s="94"/>
    </row>
    <row r="2" spans="1:8" s="11" customFormat="1" ht="32.25" x14ac:dyDescent="0.25">
      <c r="A2" s="18"/>
      <c r="B2" s="12" t="s">
        <v>8</v>
      </c>
      <c r="C2" s="12" t="s">
        <v>9</v>
      </c>
      <c r="D2" s="12" t="s">
        <v>2</v>
      </c>
      <c r="E2" s="12" t="s">
        <v>3</v>
      </c>
      <c r="F2" s="12" t="s">
        <v>48</v>
      </c>
      <c r="G2" s="12" t="s">
        <v>6</v>
      </c>
      <c r="H2" s="40"/>
    </row>
    <row r="3" spans="1:8" ht="17.25" x14ac:dyDescent="0.25">
      <c r="A3" s="4" t="s">
        <v>20</v>
      </c>
      <c r="B3" s="33">
        <f>49824.37*0.5</f>
        <v>24912.185000000001</v>
      </c>
      <c r="C3" s="33">
        <f>49824.37*0.3</f>
        <v>14947.311</v>
      </c>
      <c r="D3" s="33">
        <f>49824.37*0.2</f>
        <v>9964.8740000000016</v>
      </c>
      <c r="E3" s="33"/>
      <c r="F3" s="33"/>
      <c r="G3" s="33"/>
    </row>
    <row r="4" spans="1:8" x14ac:dyDescent="0.25">
      <c r="A4" s="4" t="s">
        <v>27</v>
      </c>
      <c r="B4" s="36">
        <v>1350</v>
      </c>
      <c r="C4" s="33">
        <v>1050</v>
      </c>
      <c r="D4" s="34">
        <v>1100</v>
      </c>
      <c r="E4" s="33"/>
      <c r="F4" s="33"/>
      <c r="G4" s="33"/>
    </row>
    <row r="5" spans="1:8" s="26" customFormat="1" ht="39.75" customHeight="1" x14ac:dyDescent="0.25">
      <c r="A5" s="58" t="s">
        <v>29</v>
      </c>
      <c r="B5" s="35">
        <v>4100</v>
      </c>
      <c r="C5" s="35">
        <v>3600</v>
      </c>
      <c r="D5" s="35">
        <v>5100</v>
      </c>
      <c r="E5" s="35">
        <v>1850</v>
      </c>
      <c r="F5" s="35">
        <v>600</v>
      </c>
      <c r="G5" s="36"/>
      <c r="H5"/>
    </row>
    <row r="6" spans="1:8" ht="17.25" x14ac:dyDescent="0.25">
      <c r="A6" s="4" t="s">
        <v>22</v>
      </c>
      <c r="B6" s="34">
        <v>11611</v>
      </c>
      <c r="C6" s="34">
        <v>1100</v>
      </c>
      <c r="D6" s="34">
        <v>1000</v>
      </c>
      <c r="E6" s="34">
        <v>350</v>
      </c>
      <c r="F6" s="34">
        <v>280</v>
      </c>
      <c r="G6" s="33"/>
    </row>
    <row r="7" spans="1:8" x14ac:dyDescent="0.25">
      <c r="A7" s="4" t="s">
        <v>5</v>
      </c>
      <c r="B7" s="34">
        <v>5700</v>
      </c>
      <c r="C7" s="33">
        <f>3455-765</f>
        <v>2690</v>
      </c>
      <c r="D7" s="33">
        <f>1278-250</f>
        <v>1028</v>
      </c>
      <c r="E7" s="34">
        <f>(3471-576)*1.25</f>
        <v>3618.75</v>
      </c>
      <c r="F7" s="33">
        <f>986-76</f>
        <v>910</v>
      </c>
      <c r="G7" s="33"/>
    </row>
    <row r="8" spans="1:8" x14ac:dyDescent="0.25">
      <c r="A8" s="4" t="s">
        <v>71</v>
      </c>
      <c r="B8" s="34">
        <v>11353</v>
      </c>
      <c r="C8" s="33">
        <f>2372-182</f>
        <v>2190</v>
      </c>
      <c r="D8" s="33">
        <f>3431-1888</f>
        <v>1543</v>
      </c>
      <c r="E8" s="33"/>
      <c r="F8" s="33"/>
      <c r="G8" s="33"/>
    </row>
    <row r="9" spans="1:8" x14ac:dyDescent="0.25">
      <c r="A9" s="4" t="s">
        <v>1</v>
      </c>
      <c r="B9" s="34">
        <v>146</v>
      </c>
      <c r="C9" s="33">
        <v>54</v>
      </c>
      <c r="D9" s="33">
        <f>135-52</f>
        <v>83</v>
      </c>
      <c r="E9" s="34">
        <f>(3071-1335)*1.25</f>
        <v>2170</v>
      </c>
      <c r="F9" s="33">
        <f>1866</f>
        <v>1866</v>
      </c>
      <c r="G9" s="33"/>
    </row>
    <row r="10" spans="1:8" ht="17.25" x14ac:dyDescent="0.25">
      <c r="A10" s="4" t="s">
        <v>33</v>
      </c>
      <c r="B10" s="5"/>
      <c r="C10" s="34">
        <v>33554.400000000001</v>
      </c>
      <c r="D10" s="33"/>
      <c r="E10" s="33"/>
      <c r="F10" s="33"/>
      <c r="G10" s="33"/>
    </row>
    <row r="11" spans="1:8" x14ac:dyDescent="0.25">
      <c r="A11" s="4" t="s">
        <v>26</v>
      </c>
      <c r="B11" s="60"/>
      <c r="C11" s="61"/>
      <c r="D11" s="61"/>
      <c r="E11" s="61"/>
      <c r="F11" s="62"/>
      <c r="G11" s="33">
        <v>6466.35</v>
      </c>
    </row>
    <row r="12" spans="1:8" s="1" customFormat="1" x14ac:dyDescent="0.25">
      <c r="A12" s="7" t="s">
        <v>4</v>
      </c>
      <c r="B12" s="37">
        <f>SUM(B3:B9)</f>
        <v>59172.184999999998</v>
      </c>
      <c r="C12" s="37">
        <f>SUM(C3:C11)</f>
        <v>59185.711000000003</v>
      </c>
      <c r="D12" s="37">
        <f>SUM(D3:D10)</f>
        <v>19818.874000000003</v>
      </c>
      <c r="E12" s="37">
        <f>SUM(E3:E9)</f>
        <v>7988.75</v>
      </c>
      <c r="F12" s="37">
        <f>SUM(F3:F9)</f>
        <v>3656</v>
      </c>
      <c r="G12" s="37">
        <f>SUM(G3:G9)</f>
        <v>0</v>
      </c>
    </row>
    <row r="13" spans="1:8" x14ac:dyDescent="0.25">
      <c r="A13" s="13" t="s">
        <v>11</v>
      </c>
      <c r="B13" s="65">
        <v>13700</v>
      </c>
      <c r="C13" s="41">
        <v>20642.04</v>
      </c>
      <c r="D13" s="65">
        <v>200</v>
      </c>
      <c r="E13" s="41">
        <v>0</v>
      </c>
      <c r="F13" s="41">
        <v>0</v>
      </c>
      <c r="G13" s="41">
        <v>0</v>
      </c>
    </row>
    <row r="14" spans="1:8" x14ac:dyDescent="0.25">
      <c r="A14" s="16" t="s">
        <v>7</v>
      </c>
      <c r="B14" s="42">
        <f t="shared" ref="B14:G14" si="0">B12-B13</f>
        <v>45472.184999999998</v>
      </c>
      <c r="C14" s="42">
        <f t="shared" si="0"/>
        <v>38543.671000000002</v>
      </c>
      <c r="D14" s="42">
        <f t="shared" si="0"/>
        <v>19618.874000000003</v>
      </c>
      <c r="E14" s="43">
        <f t="shared" si="0"/>
        <v>7988.75</v>
      </c>
      <c r="F14" s="43">
        <f t="shared" si="0"/>
        <v>3656</v>
      </c>
      <c r="G14" s="43">
        <f t="shared" si="0"/>
        <v>0</v>
      </c>
    </row>
    <row r="15" spans="1:8" ht="14.45" customHeight="1" x14ac:dyDescent="0.25">
      <c r="A15" s="13"/>
      <c r="B15" s="15"/>
      <c r="C15" s="15"/>
      <c r="D15" s="95" t="s">
        <v>16</v>
      </c>
      <c r="E15" s="96"/>
      <c r="F15" s="96"/>
      <c r="G15" s="63">
        <f>SUM(B14:G14)</f>
        <v>115279.48000000001</v>
      </c>
    </row>
    <row r="16" spans="1:8" ht="17.25" x14ac:dyDescent="0.25">
      <c r="A16" s="9" t="s">
        <v>10</v>
      </c>
      <c r="B16" s="10"/>
      <c r="C16" s="10"/>
      <c r="D16" s="10"/>
      <c r="E16" s="10"/>
      <c r="F16" s="10"/>
      <c r="G16" s="9"/>
    </row>
    <row r="17" spans="1:7" ht="27.95" customHeight="1" x14ac:dyDescent="0.25">
      <c r="A17" s="97" t="s">
        <v>61</v>
      </c>
      <c r="B17" s="97"/>
      <c r="C17" s="97"/>
      <c r="D17" s="97"/>
      <c r="E17" s="97"/>
      <c r="F17" s="97"/>
      <c r="G17" s="97"/>
    </row>
  </sheetData>
  <mergeCells count="3">
    <mergeCell ref="A1:G1"/>
    <mergeCell ref="D15:F15"/>
    <mergeCell ref="A17:G1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Current</vt:lpstr>
      <vt:lpstr>18J Central Final</vt:lpstr>
      <vt:lpstr>18J Central Interim</vt:lpstr>
      <vt:lpstr>Heath Ctr Final</vt:lpstr>
      <vt:lpstr>Heath Ctr Interim</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Cerone</dc:creator>
  <cp:lastModifiedBy>Dena Briggs</cp:lastModifiedBy>
  <dcterms:created xsi:type="dcterms:W3CDTF">2020-02-21T23:06:45Z</dcterms:created>
  <dcterms:modified xsi:type="dcterms:W3CDTF">2020-06-08T18:59:28Z</dcterms:modified>
</cp:coreProperties>
</file>